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15" windowWidth="12570" windowHeight="8250" activeTab="0"/>
  </bookViews>
  <sheets>
    <sheet name="12FXX" sheetId="1" r:id="rId1"/>
    <sheet name="16F628" sheetId="2" r:id="rId2"/>
    <sheet name="16F84" sheetId="3" r:id="rId3"/>
    <sheet name="Conversion" sheetId="4" r:id="rId4"/>
  </sheets>
  <definedNames>
    <definedName name="_xlnm.Print_Area" localSheetId="0">'12FXX'!$A$1:$S$253</definedName>
    <definedName name="_xlnm.Print_Area" localSheetId="1">'16F628'!$A$88:$J$122</definedName>
    <definedName name="_xlnm.Print_Area" localSheetId="2">'16F84'!$A$1:$I$25</definedName>
    <definedName name="_xlnm.Print_Area" localSheetId="3">'Conversion'!$C$20:$R$38</definedName>
  </definedNames>
  <calcPr fullCalcOnLoad="1"/>
</workbook>
</file>

<file path=xl/comments1.xml><?xml version="1.0" encoding="utf-8"?>
<comments xmlns="http://schemas.openxmlformats.org/spreadsheetml/2006/main">
  <authors>
    <author>alain</author>
    <author>AA</author>
  </authors>
  <commentList>
    <comment ref="G32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Résistance de rappel 5V sur les entrées</t>
        </r>
      </text>
    </comment>
    <comment ref="G34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Clock externe :transition sur GP2</t>
        </r>
      </text>
    </comment>
    <comment ref="G35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Choix du front de détection</t>
        </r>
      </text>
    </comment>
    <comment ref="G36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Les valeurs  PS01,PS1,PS2 générent 
une valeur qui dépend  
du type de prédivideur PSA
</t>
        </r>
      </text>
    </comment>
    <comment ref="F60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1= pull-up </t>
        </r>
      </text>
    </comment>
    <comment ref="F61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1= pull-up </t>
        </r>
      </text>
    </comment>
    <comment ref="F63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1= pull-up </t>
        </r>
      </text>
    </comment>
    <comment ref="F64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1= pull-up </t>
        </r>
      </text>
    </comment>
    <comment ref="F65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1= pull-up </t>
        </r>
      </text>
    </comment>
    <comment ref="G80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 Ce bit sera mis à 1 en temps utile</t>
        </r>
      </text>
    </comment>
    <comment ref="G84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  autoriser les GP concernés(GP0 à GP5)
VOIR INTCAN</t>
        </r>
      </text>
    </comment>
    <comment ref="G85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flag de débordement (doit etre remis à 0)</t>
        </r>
      </text>
    </comment>
    <comment ref="G86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Flag d'interruption de GP2
Doit etre remis à 0</t>
        </r>
      </text>
    </comment>
    <comment ref="G87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Flag =1 si l'un des port (GP0 à GP5 à changé d'état</t>
        </r>
      </text>
    </comment>
    <comment ref="M123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GP1 connecté à VIN-
GP0 connecté à VIN+
GP2 pas  connecté 
COUT=0</t>
        </r>
      </text>
    </comment>
    <comment ref="G124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 bit =1   si 
 CINV=0 et Vin+ &gt; Vin-
  ou
   CINV=1 et Vin- &gt; Vin+
Peut etre connecté à </t>
        </r>
        <r>
          <rPr>
            <b/>
            <sz val="8"/>
            <rFont val="Tahoma"/>
            <family val="2"/>
          </rPr>
          <t>GP2</t>
        </r>
      </text>
    </comment>
    <comment ref="M124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GP1 GP0,Vin- ,Vin+ connecté à la masse
GP2 pas  connecté </t>
        </r>
      </text>
    </comment>
    <comment ref="M125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GP1 connecté à VIN-
GP0 connecté à VIN+
GP2</t>
        </r>
        <r>
          <rPr>
            <b/>
            <sz val="8"/>
            <rFont val="Tahoma"/>
            <family val="2"/>
          </rPr>
          <t xml:space="preserve"> pas</t>
        </r>
        <r>
          <rPr>
            <sz val="8"/>
            <rFont val="Tahoma"/>
            <family val="0"/>
          </rPr>
          <t xml:space="preserve">  connecté </t>
        </r>
      </text>
    </comment>
    <comment ref="M126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GP1 connecté à VIN-
GP0 connecté à VIN+
GP2   connecté à COUT
</t>
        </r>
      </text>
    </comment>
    <comment ref="G127" authorId="0">
      <text>
        <r>
          <rPr>
            <b/>
            <sz val="8"/>
            <rFont val="Tahoma"/>
            <family val="0"/>
          </rPr>
          <t>alain:
Choix de connection de</t>
        </r>
        <r>
          <rPr>
            <sz val="8"/>
            <rFont val="Tahoma"/>
            <family val="0"/>
          </rPr>
          <t xml:space="preserve">  </t>
        </r>
        <r>
          <rPr>
            <b/>
            <sz val="8"/>
            <rFont val="Tahoma"/>
            <family val="2"/>
          </rPr>
          <t>VIN-</t>
        </r>
        <r>
          <rPr>
            <sz val="8"/>
            <rFont val="Tahoma"/>
            <family val="0"/>
          </rPr>
          <t xml:space="preserve">   à : </t>
        </r>
        <r>
          <rPr>
            <b/>
            <sz val="8"/>
            <rFont val="Tahoma"/>
            <family val="2"/>
          </rPr>
          <t xml:space="preserve">GP0 </t>
        </r>
        <r>
          <rPr>
            <sz val="8"/>
            <rFont val="Tahoma"/>
            <family val="0"/>
          </rPr>
          <t xml:space="preserve"> ou  à  </t>
        </r>
        <r>
          <rPr>
            <b/>
            <sz val="8"/>
            <rFont val="Tahoma"/>
            <family val="2"/>
          </rPr>
          <t xml:space="preserve">GP1 </t>
        </r>
      </text>
    </comment>
    <comment ref="M127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G P1 connecté à Vin-
Vref connecté à Vin+
GP0 ,GP2  libre</t>
        </r>
      </text>
    </comment>
    <comment ref="M128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G P1 connecté à Vin-
Vref connecté à Vin+
GP2  connecté à COUT
GP0 libre</t>
        </r>
      </text>
    </comment>
    <comment ref="M129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G P1 ou GP0  connecté à Vin- (voir CIS)
Vref connecté à Vin+
GP2  pas connecté 
GP0 libre</t>
        </r>
      </text>
    </comment>
    <comment ref="M130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G P1 ou GP0  connecté à Vin- (voir CIS)
Vref connecté à Vin+
GP2  pas connecté 
GP0 connecté à COUT</t>
        </r>
      </text>
    </comment>
    <comment ref="G169" authorId="0">
      <text>
        <r>
          <rPr>
            <b/>
            <sz val="8"/>
            <rFont val="Tahoma"/>
            <family val="0"/>
          </rPr>
          <t>alain:
B0 doit etre b0=1</t>
        </r>
        <r>
          <rPr>
            <sz val="8"/>
            <rFont val="Tahoma"/>
            <family val="0"/>
          </rPr>
          <t xml:space="preserve">
1=Timer1 est activé si b2 esb niveau bas
0=Timer 1 est activé
</t>
        </r>
      </text>
    </comment>
    <comment ref="G172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Ignoré quand l'horloge interne est selectionnée
</t>
        </r>
      </text>
    </comment>
    <comment ref="G173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Ignoré quand l'horloge interne est selectionnée
</t>
        </r>
      </text>
    </comment>
    <comment ref="G190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si=1 cycle de conversion en cours
si=1 conversion terminé</t>
        </r>
      </text>
    </comment>
    <comment ref="G141" authorId="1">
      <text>
        <r>
          <rPr>
            <b/>
            <sz val="8"/>
            <rFont val="Tahoma"/>
            <family val="0"/>
          </rPr>
          <t>AA:</t>
        </r>
        <r>
          <rPr>
            <sz val="8"/>
            <rFont val="Tahoma"/>
            <family val="0"/>
          </rPr>
          <t xml:space="preserve">
Si VRR=1 
  vref=(vr(3:0)/24*Vdd
Si VRR=0
 vref=(vdd/4 +  vr(3:0)/32)*Vdd</t>
        </r>
      </text>
    </comment>
  </commentList>
</comments>
</file>

<file path=xl/comments2.xml><?xml version="1.0" encoding="utf-8"?>
<comments xmlns="http://schemas.openxmlformats.org/spreadsheetml/2006/main">
  <authors>
    <author>alain</author>
    <author>AA</author>
  </authors>
  <commentList>
    <comment ref="G35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Résistance de rappel 5V sur les entrées</t>
        </r>
      </text>
    </comment>
    <comment ref="G37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Clock externe :transition sur RA4</t>
        </r>
      </text>
    </comment>
    <comment ref="G38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Choix du front de détection</t>
        </r>
      </text>
    </comment>
    <comment ref="G39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Les valeurs  PS01,PS1,PS2 générent 
une valeur qui dépend  
du type de prédivideur PSA
</t>
        </r>
      </text>
    </comment>
    <comment ref="G48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 Ce bit sera mis à 1 en temps utile</t>
        </r>
      </text>
    </comment>
    <comment ref="G52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  autoriser les RB concernés
VOIR INTCAN</t>
        </r>
      </text>
    </comment>
    <comment ref="G53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flag de débordement (doit etre remis à 0)</t>
        </r>
      </text>
    </comment>
    <comment ref="G54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Flag d'interruption de RB0
Doit etre remis à 0</t>
        </r>
      </text>
    </comment>
    <comment ref="G55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Flag =1 si l'un des ports( RB7:RB4 ) change d'état
</t>
        </r>
      </text>
    </comment>
    <comment ref="G146" authorId="1">
      <text>
        <r>
          <rPr>
            <b/>
            <sz val="8"/>
            <rFont val="Tahoma"/>
            <family val="0"/>
          </rPr>
          <t>AA:</t>
        </r>
        <r>
          <rPr>
            <sz val="8"/>
            <rFont val="Tahoma"/>
            <family val="0"/>
          </rPr>
          <t xml:space="preserve">
Typiquement</t>
        </r>
        <r>
          <rPr>
            <b/>
            <sz val="8"/>
            <rFont val="Tahoma"/>
            <family val="2"/>
          </rPr>
          <t xml:space="preserve"> 4Mhz</t>
        </r>
      </text>
    </comment>
    <comment ref="G149" authorId="1">
      <text>
        <r>
          <rPr>
            <b/>
            <sz val="8"/>
            <rFont val="Tahoma"/>
            <family val="0"/>
          </rPr>
          <t>AA:</t>
        </r>
        <r>
          <rPr>
            <sz val="8"/>
            <rFont val="Tahoma"/>
            <family val="0"/>
          </rPr>
          <t xml:space="preserve">
doit etre mis à 1   aprés une validation </t>
        </r>
      </text>
    </comment>
    <comment ref="G148" authorId="1">
      <text>
        <r>
          <rPr>
            <b/>
            <sz val="8"/>
            <rFont val="Tahoma"/>
            <family val="0"/>
          </rPr>
          <t>AA:</t>
        </r>
        <r>
          <rPr>
            <sz val="8"/>
            <rFont val="Tahoma"/>
            <family val="0"/>
          </rPr>
          <t xml:space="preserve">
doit etre mis à 1   aprés une validation </t>
        </r>
      </text>
    </comment>
    <comment ref="G115" authorId="1">
      <text>
        <r>
          <rPr>
            <b/>
            <sz val="8"/>
            <rFont val="Tahoma"/>
            <family val="0"/>
          </rPr>
          <t>AA:</t>
        </r>
        <r>
          <rPr>
            <sz val="8"/>
            <rFont val="Tahoma"/>
            <family val="0"/>
          </rPr>
          <t xml:space="preserve">
Si VRR=1 
  vref=(vr(3:0)/24*Vdd
Si VRR=0
 vref=(vdd/4 +  vr(3:0)/32)*Vdd</t>
        </r>
      </text>
    </comment>
    <comment ref="G113" authorId="1">
      <text>
        <r>
          <rPr>
            <b/>
            <sz val="8"/>
            <rFont val="Tahoma"/>
            <family val="0"/>
          </rPr>
          <t>AA:</t>
        </r>
        <r>
          <rPr>
            <sz val="8"/>
            <rFont val="Tahoma"/>
            <family val="0"/>
          </rPr>
          <t xml:space="preserve">
necesaire suivant l'option
de CMCON choisie</t>
        </r>
      </text>
    </comment>
    <comment ref="G114" authorId="1">
      <text>
        <r>
          <rPr>
            <b/>
            <sz val="8"/>
            <rFont val="Tahoma"/>
            <family val="0"/>
          </rPr>
          <t>AA:</t>
        </r>
        <r>
          <rPr>
            <sz val="8"/>
            <rFont val="Tahoma"/>
            <family val="0"/>
          </rPr>
          <t xml:space="preserve">
necessair suivant l'option
CMCON choisie </t>
        </r>
      </text>
    </comment>
  </commentList>
</comments>
</file>

<file path=xl/sharedStrings.xml><?xml version="1.0" encoding="utf-8"?>
<sst xmlns="http://schemas.openxmlformats.org/spreadsheetml/2006/main" count="716" uniqueCount="348">
  <si>
    <t>PIC 12F629 /PIC 12F675</t>
  </si>
  <si>
    <t xml:space="preserve">Protection du programme </t>
  </si>
  <si>
    <t>Protection de la EEprom</t>
  </si>
  <si>
    <t>Reset du PIC si tension &lt; 4V</t>
  </si>
  <si>
    <t>Utilisation de MCLR</t>
  </si>
  <si>
    <t>Retard à la mise sous tension</t>
  </si>
  <si>
    <t>Watchdog</t>
  </si>
  <si>
    <t>_INTRC_OSC_NOCLKOUT</t>
  </si>
  <si>
    <t>Oscillation interne I/O sur GP4 et GP5 (4MHz)</t>
  </si>
  <si>
    <t>_INTRC_OSC_CLKOUT</t>
  </si>
  <si>
    <t>Oscillation interne clkout sur GP4 I/O sur GP5 (4Mhz)</t>
  </si>
  <si>
    <t>_EXTRC_OSC_CLKOUT</t>
  </si>
  <si>
    <t>signal clock fournit sur GP5 par pont RC I/O sur GP4</t>
  </si>
  <si>
    <t>_EXTRC_OSC_NOCLKOUT</t>
  </si>
  <si>
    <t>signal clock fournit sur GP5 par pont RC clckout sur GP4</t>
  </si>
  <si>
    <t>_EC_OSC</t>
  </si>
  <si>
    <t>signal clock fournit sur GP5 I/O sur GP4</t>
  </si>
  <si>
    <t>oscillateur basse vitesse (?&lt;F&lt;200Khz)</t>
  </si>
  <si>
    <t>_XT_OSC</t>
  </si>
  <si>
    <t>oscillateur moyenne vitesse (0,1Mhz&lt;F&lt;4Mhz)</t>
  </si>
  <si>
    <t>_HS_OSC</t>
  </si>
  <si>
    <t>oscillateur haute vitesse (1Mhz&lt;F&lt;20Mhz)</t>
  </si>
  <si>
    <t>Configuration:</t>
  </si>
  <si>
    <t>Configuration des registres :</t>
  </si>
  <si>
    <t>81H</t>
  </si>
  <si>
    <t xml:space="preserve">Le timer0(8bits) génère 1 interruption </t>
  </si>
  <si>
    <t xml:space="preserve">b7 </t>
  </si>
  <si>
    <t>(/GPPU)</t>
  </si>
  <si>
    <t>toutes les</t>
  </si>
  <si>
    <t>b6</t>
  </si>
  <si>
    <t>(INTEGD)</t>
  </si>
  <si>
    <t>seconde</t>
  </si>
  <si>
    <t>b5</t>
  </si>
  <si>
    <t>(TOCS)</t>
  </si>
  <si>
    <t xml:space="preserve">le prédiviseur ajuste cette valeur </t>
  </si>
  <si>
    <t>b4</t>
  </si>
  <si>
    <t>(TOSE)</t>
  </si>
  <si>
    <t>b5 doit etre à 1</t>
  </si>
  <si>
    <t xml:space="preserve">             à </t>
  </si>
  <si>
    <t>b3</t>
  </si>
  <si>
    <t>(PSA)</t>
  </si>
  <si>
    <t>b2</t>
  </si>
  <si>
    <t>(PS2)</t>
  </si>
  <si>
    <t xml:space="preserve">     Prédivision</t>
  </si>
  <si>
    <t>b1</t>
  </si>
  <si>
    <t>(PS1)</t>
  </si>
  <si>
    <t>Calcul automatique</t>
  </si>
  <si>
    <t>soit</t>
  </si>
  <si>
    <t>b0</t>
  </si>
  <si>
    <t>(PS0)</t>
  </si>
  <si>
    <t>OPTIONVAL    EQU</t>
  </si>
  <si>
    <t>OPTION_REG =</t>
  </si>
  <si>
    <t>85H</t>
  </si>
  <si>
    <t>b7</t>
  </si>
  <si>
    <t>N.U.</t>
  </si>
  <si>
    <t>PIN 2</t>
  </si>
  <si>
    <t>(WPU5)</t>
  </si>
  <si>
    <t>PIN 3</t>
  </si>
  <si>
    <t>(WPU4)</t>
  </si>
  <si>
    <t>PIN 4</t>
  </si>
  <si>
    <t>=1  GP3 toujours en entree</t>
  </si>
  <si>
    <t>PIN 5</t>
  </si>
  <si>
    <t>(WPU2)</t>
  </si>
  <si>
    <t>PIN 6</t>
  </si>
  <si>
    <t>(WPU1)</t>
  </si>
  <si>
    <t>PIN 7</t>
  </si>
  <si>
    <t>(WPU0)</t>
  </si>
  <si>
    <t>TRISIOVAL      EQU</t>
  </si>
  <si>
    <t>TRISIO=</t>
  </si>
  <si>
    <t>95H</t>
  </si>
  <si>
    <t xml:space="preserve"> GPPU dans option_registre doit etre configuré</t>
  </si>
  <si>
    <t>WPUVAL         EQU</t>
  </si>
  <si>
    <t>WPU=</t>
  </si>
  <si>
    <t>90H</t>
  </si>
  <si>
    <r>
      <t>Frequence (</t>
    </r>
    <r>
      <rPr>
        <b/>
        <sz val="10"/>
        <rFont val="Arial"/>
        <family val="2"/>
      </rPr>
      <t>1,2 ou 3</t>
    </r>
    <r>
      <rPr>
        <sz val="10"/>
        <rFont val="Arial"/>
        <family val="0"/>
      </rPr>
      <t>)</t>
    </r>
  </si>
  <si>
    <t>Nominal</t>
  </si>
  <si>
    <t>mini</t>
  </si>
  <si>
    <t>Maxi</t>
  </si>
  <si>
    <t>OSCCALVAL   EQU</t>
  </si>
  <si>
    <t>OSCCAL=</t>
  </si>
  <si>
    <t>0BH    8BH</t>
  </si>
  <si>
    <t>(GIE)</t>
  </si>
  <si>
    <t>(EPEI)</t>
  </si>
  <si>
    <t>(TOIE)</t>
  </si>
  <si>
    <t>(INTE)</t>
  </si>
  <si>
    <t>(GPIE)</t>
  </si>
  <si>
    <t>(T0IF)</t>
  </si>
  <si>
    <t>Flag TMR0</t>
  </si>
  <si>
    <t>Doit etre initialisé dans le programmme</t>
  </si>
  <si>
    <t>(INTF)</t>
  </si>
  <si>
    <t>Flag GP2/Int</t>
  </si>
  <si>
    <t>(GPIF)</t>
  </si>
  <si>
    <t>Flag interruption GPIO</t>
  </si>
  <si>
    <t>INTCONVAL     EQU</t>
  </si>
  <si>
    <t>INTCON=</t>
  </si>
  <si>
    <t>96H</t>
  </si>
  <si>
    <t>Configuration du registre IOC (contrôle des interruptions individuelles)</t>
  </si>
  <si>
    <t>IOC5</t>
  </si>
  <si>
    <t>IOC4</t>
  </si>
  <si>
    <t>IOC3</t>
  </si>
  <si>
    <t>IOC2</t>
  </si>
  <si>
    <t>IOC1</t>
  </si>
  <si>
    <t>IOC0</t>
  </si>
  <si>
    <t>IOCVAL           EQU</t>
  </si>
  <si>
    <t>IOC=</t>
  </si>
  <si>
    <t>8CH</t>
  </si>
  <si>
    <t>Configuration du registre PIE1(contrôle des interruptions périphérique)</t>
  </si>
  <si>
    <t>EEIE</t>
  </si>
  <si>
    <t>ADIE</t>
  </si>
  <si>
    <t>CMIE</t>
  </si>
  <si>
    <t>TMR1IE</t>
  </si>
  <si>
    <t>PIE1VAL          EQU</t>
  </si>
  <si>
    <t>PIE1=</t>
  </si>
  <si>
    <t>19H</t>
  </si>
  <si>
    <r>
      <t>(</t>
    </r>
    <r>
      <rPr>
        <b/>
        <sz val="10"/>
        <rFont val="Arial"/>
        <family val="2"/>
      </rPr>
      <t>GP0  GP1 GP2</t>
    </r>
    <r>
      <rPr>
        <sz val="10"/>
        <rFont val="Arial"/>
        <family val="0"/>
      </rPr>
      <t>)</t>
    </r>
  </si>
  <si>
    <t>Toujours à 0</t>
  </si>
  <si>
    <t>reset de comparateur</t>
  </si>
  <si>
    <t>COUT</t>
  </si>
  <si>
    <t xml:space="preserve">Bit flag etat du comparateur </t>
  </si>
  <si>
    <t xml:space="preserve">pas de comparaison </t>
  </si>
  <si>
    <r>
      <t xml:space="preserve">Comp. entre GP1 et GP0  </t>
    </r>
    <r>
      <rPr>
        <b/>
        <sz val="10"/>
        <rFont val="Arial"/>
        <family val="2"/>
      </rPr>
      <t>sans</t>
    </r>
    <r>
      <rPr>
        <sz val="10"/>
        <rFont val="Arial"/>
        <family val="0"/>
      </rPr>
      <t xml:space="preserve"> connection externe deCOUT sur  GP2</t>
    </r>
  </si>
  <si>
    <t>CINV</t>
  </si>
  <si>
    <r>
      <t xml:space="preserve">Comp. entre GP1 et GO0  </t>
    </r>
    <r>
      <rPr>
        <b/>
        <sz val="10"/>
        <rFont val="Arial"/>
        <family val="2"/>
      </rPr>
      <t>avec</t>
    </r>
    <r>
      <rPr>
        <sz val="10"/>
        <rFont val="Arial"/>
        <family val="0"/>
      </rPr>
      <t xml:space="preserve"> connection externe de COUT sur  GP2</t>
    </r>
  </si>
  <si>
    <t>CIS</t>
  </si>
  <si>
    <r>
      <t xml:space="preserve">Comp. entre GP1 et </t>
    </r>
    <r>
      <rPr>
        <b/>
        <sz val="10"/>
        <rFont val="Arial"/>
        <family val="2"/>
      </rPr>
      <t>Vref interne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avec</t>
    </r>
    <r>
      <rPr>
        <sz val="10"/>
        <rFont val="Arial"/>
        <family val="0"/>
      </rPr>
      <t xml:space="preserve"> connection de COUT</t>
    </r>
  </si>
  <si>
    <t>CM2</t>
  </si>
  <si>
    <r>
      <t xml:space="preserve">Comp. entre GP1 et </t>
    </r>
    <r>
      <rPr>
        <b/>
        <sz val="10"/>
        <rFont val="Arial"/>
        <family val="2"/>
      </rPr>
      <t>Vref interne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sans</t>
    </r>
    <r>
      <rPr>
        <sz val="10"/>
        <rFont val="Arial"/>
        <family val="0"/>
      </rPr>
      <t xml:space="preserve"> connection de COUT</t>
    </r>
  </si>
  <si>
    <t>CM1</t>
  </si>
  <si>
    <r>
      <t xml:space="preserve">Comp. entre  (GP1 ou  GP0) et </t>
    </r>
    <r>
      <rPr>
        <b/>
        <sz val="10"/>
        <rFont val="Arial"/>
        <family val="2"/>
      </rPr>
      <t>Vref interne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sans</t>
    </r>
    <r>
      <rPr>
        <sz val="10"/>
        <rFont val="Arial"/>
        <family val="0"/>
      </rPr>
      <t xml:space="preserve"> connection de COUT</t>
    </r>
  </si>
  <si>
    <t>CM0</t>
  </si>
  <si>
    <r>
      <t xml:space="preserve">Comp. entre  (GP1 ou  GP0) et </t>
    </r>
    <r>
      <rPr>
        <b/>
        <sz val="10"/>
        <rFont val="Arial"/>
        <family val="2"/>
      </rPr>
      <t>Vref interne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avec </t>
    </r>
    <r>
      <rPr>
        <sz val="10"/>
        <rFont val="Arial"/>
        <family val="0"/>
      </rPr>
      <t xml:space="preserve"> connection de COUT</t>
    </r>
  </si>
  <si>
    <t>CMCONVAL    EQU</t>
  </si>
  <si>
    <t>99H</t>
  </si>
  <si>
    <t>vref=VDD/4+(VDD* (b3_b0) /32)</t>
  </si>
  <si>
    <t>VDD=</t>
  </si>
  <si>
    <t>V</t>
  </si>
  <si>
    <t>VREN</t>
  </si>
  <si>
    <t>VRR</t>
  </si>
  <si>
    <t>VRCONVAL    EQU</t>
  </si>
  <si>
    <t>VRCON=</t>
  </si>
  <si>
    <t>Timer1</t>
  </si>
  <si>
    <t>10H</t>
  </si>
  <si>
    <t>Configuration du registreT1CON (contrôle du Timer1)</t>
  </si>
  <si>
    <t>TMR1GE</t>
  </si>
  <si>
    <t>Ignoré si TMR1ON=0</t>
  </si>
  <si>
    <t xml:space="preserve">Le timer0(16bits) génère 1 interruption </t>
  </si>
  <si>
    <t>T1CKPS1</t>
  </si>
  <si>
    <t>Ratio calculé =</t>
  </si>
  <si>
    <t xml:space="preserve">        toutes les</t>
  </si>
  <si>
    <t>T1CKPS0</t>
  </si>
  <si>
    <t>T1OSCEN</t>
  </si>
  <si>
    <t>T1SYNC</t>
  </si>
  <si>
    <t xml:space="preserve">Contrôle externe </t>
  </si>
  <si>
    <t>TMR1CS</t>
  </si>
  <si>
    <t>TMR1ON</t>
  </si>
  <si>
    <t>T1CONAL        EQU</t>
  </si>
  <si>
    <t>T1CON=</t>
  </si>
  <si>
    <t>Convertisseur (12F675)</t>
  </si>
  <si>
    <t>1FH</t>
  </si>
  <si>
    <t>ADFM</t>
  </si>
  <si>
    <t>VCFG</t>
  </si>
  <si>
    <t>CHS1</t>
  </si>
  <si>
    <t>CHS0</t>
  </si>
  <si>
    <t>GO/DONE</t>
  </si>
  <si>
    <t xml:space="preserve">etat du convertisseur </t>
  </si>
  <si>
    <t>ADON</t>
  </si>
  <si>
    <t>(Lance la conversion )</t>
  </si>
  <si>
    <t>ADCON0        EQU</t>
  </si>
  <si>
    <t>ADCON0=</t>
  </si>
  <si>
    <t>Configuration du registre ANSEL  (Selection de registre analogique )</t>
  </si>
  <si>
    <t>ADCS2</t>
  </si>
  <si>
    <t>('4,16 ou 32)</t>
  </si>
  <si>
    <t>ADCS1</t>
  </si>
  <si>
    <t>(32,Frc ou 64)</t>
  </si>
  <si>
    <t>ADCS0</t>
  </si>
  <si>
    <t>(4,16, ou 64)</t>
  </si>
  <si>
    <t>ANS3 (GP4)</t>
  </si>
  <si>
    <t>ANS2 (GP2)</t>
  </si>
  <si>
    <t>ANS1 (GP1)</t>
  </si>
  <si>
    <t>ANS0 (GP0)</t>
  </si>
  <si>
    <t>ANSEL         EQU</t>
  </si>
  <si>
    <t>ANSEL=</t>
  </si>
  <si>
    <t>0CH</t>
  </si>
  <si>
    <t>EEIF</t>
  </si>
  <si>
    <t>ADIF</t>
  </si>
  <si>
    <t>CMIF</t>
  </si>
  <si>
    <t>TMR1IF</t>
  </si>
  <si>
    <t>PIR1        EQU</t>
  </si>
  <si>
    <t>PIR1=</t>
  </si>
  <si>
    <t xml:space="preserve">configuration </t>
  </si>
  <si>
    <t>001</t>
  </si>
  <si>
    <t>010</t>
  </si>
  <si>
    <t>000</t>
  </si>
  <si>
    <t>_LP_OSC</t>
  </si>
  <si>
    <t>011</t>
  </si>
  <si>
    <t>100</t>
  </si>
  <si>
    <t>101</t>
  </si>
  <si>
    <t>110</t>
  </si>
  <si>
    <t>111</t>
  </si>
  <si>
    <t>b0 à b1</t>
  </si>
  <si>
    <t>b8</t>
  </si>
  <si>
    <t>b2 à b0</t>
  </si>
  <si>
    <t xml:space="preserve">Config  </t>
  </si>
  <si>
    <t>Define CONF_WORD = 0x</t>
  </si>
  <si>
    <t>Registre de Configuration</t>
  </si>
  <si>
    <t>Config</t>
  </si>
  <si>
    <t xml:space="preserve">b11 et  b12 à 1 pour voltage et calibration </t>
  </si>
  <si>
    <t>Configuration du registre TRISIO (configuration des entrées sorties)</t>
  </si>
  <si>
    <t>Configuration du registre WPU (resistances individuelles)</t>
  </si>
  <si>
    <t>Configuration du registre INTCON (contrôle générale des interruptions )</t>
  </si>
  <si>
    <t>Configuration du registre ADCON0   configuration du convertisseur  A/D</t>
  </si>
  <si>
    <t xml:space="preserve">Configuration du registre PIR1   ( état des interruptions  ) doit etre initialisé par le programme </t>
  </si>
  <si>
    <t>Configuration du registe OSCCALVAL (type d'oscillation)</t>
  </si>
  <si>
    <t>Configuration du registre OPTION_REG (configuration resistance ,Interruption,timer,prediviseur )</t>
  </si>
  <si>
    <t>en relation avec CMCOM</t>
  </si>
  <si>
    <t>en relation avec OPTIONVAL</t>
  </si>
  <si>
    <t>Reservé au 12F675</t>
  </si>
  <si>
    <t xml:space="preserve">Calcul annexe conversion hexadecinale </t>
  </si>
  <si>
    <t>Cette page permet de configurer et commenter les registres automatquement (en bas de page le resumé est mis à jour sous différentes formes )</t>
  </si>
  <si>
    <r>
      <t xml:space="preserve">Ne remplir que la colonne  </t>
    </r>
    <r>
      <rPr>
        <b/>
        <sz val="14"/>
        <color indexed="12"/>
        <rFont val="Arial"/>
        <family val="2"/>
      </rPr>
      <t>(cela mettra à jour la configuration )</t>
    </r>
  </si>
  <si>
    <t xml:space="preserve">Informations sur les  registres </t>
  </si>
  <si>
    <r>
      <t xml:space="preserve">Ne remplir que les colonnes  </t>
    </r>
    <r>
      <rPr>
        <b/>
        <sz val="14"/>
        <color indexed="12"/>
        <rFont val="Arial"/>
        <family val="2"/>
      </rPr>
      <t>(cela mettra à jour la configuration )</t>
    </r>
  </si>
  <si>
    <r>
      <t>Oscillateur</t>
    </r>
    <r>
      <rPr>
        <sz val="10"/>
        <color indexed="10"/>
        <rFont val="Arial"/>
        <family val="2"/>
      </rPr>
      <t xml:space="preserve"> (choix 1 à 8)</t>
    </r>
  </si>
  <si>
    <t xml:space="preserve">Configuration du PIC </t>
  </si>
  <si>
    <t>Configuration du registre  CMCON (Configuration du comparateur )</t>
  </si>
  <si>
    <t>Configuration du registre  VRCON (Configuration du comparateur )</t>
  </si>
  <si>
    <t>Fosc/8 minimum pour f=4MHZ page 42 datasheet)</t>
  </si>
  <si>
    <t>conversion decimale vers hexa</t>
  </si>
  <si>
    <t xml:space="preserve">à transformer </t>
  </si>
  <si>
    <t>b13 à b4</t>
  </si>
  <si>
    <t>Type oscillation</t>
  </si>
  <si>
    <t>b1 et b0</t>
  </si>
  <si>
    <t>3FFC</t>
  </si>
  <si>
    <t>3FFD</t>
  </si>
  <si>
    <t>3FFE</t>
  </si>
  <si>
    <t>_RC_OSC</t>
  </si>
  <si>
    <t>3FFF</t>
  </si>
  <si>
    <t>and</t>
  </si>
  <si>
    <t>Configuration 16F84</t>
  </si>
  <si>
    <t>choix</t>
  </si>
  <si>
    <t xml:space="preserve">mise à jour </t>
  </si>
  <si>
    <t>Oscillateur (choix 0,1,2,3)</t>
  </si>
  <si>
    <t>b9</t>
  </si>
  <si>
    <t>b10</t>
  </si>
  <si>
    <t>b11</t>
  </si>
  <si>
    <t>b13</t>
  </si>
  <si>
    <t>Oscillation interne I/O sur RA6 et 5A7 (4MHz)</t>
  </si>
  <si>
    <t>Oscillation interne clkout sur RA6 I/O sur RA7 (4Mhz)</t>
  </si>
  <si>
    <t>_EXTRCLK_OSC</t>
  </si>
  <si>
    <t>signal clock fournit au PIC sur RA7 I/O sur RA6</t>
  </si>
  <si>
    <t>_ER_OSC_NOCLKOUT</t>
  </si>
  <si>
    <t>I/O sur RA6 resistance externe sur RA7</t>
  </si>
  <si>
    <t>_ER_OSC_CLKOUT</t>
  </si>
  <si>
    <t>clckout sur RA6 resistance externe sur RA7</t>
  </si>
  <si>
    <t>_CP_OFF</t>
  </si>
  <si>
    <t>_CP50</t>
  </si>
  <si>
    <t>_CP75</t>
  </si>
  <si>
    <t>_CP_ALL</t>
  </si>
  <si>
    <t>b4 b1 b0</t>
  </si>
  <si>
    <t xml:space="preserve">b12 </t>
  </si>
  <si>
    <t>b13 b10</t>
  </si>
  <si>
    <t xml:space="preserve">Tension basse de programation </t>
  </si>
  <si>
    <t>(/RBPU)</t>
  </si>
  <si>
    <t>(INTEDG)</t>
  </si>
  <si>
    <t>(PEIE)</t>
  </si>
  <si>
    <t>Flag RB0/Int</t>
  </si>
  <si>
    <t>RCIE</t>
  </si>
  <si>
    <t>TXIE</t>
  </si>
  <si>
    <t>CCP1IE</t>
  </si>
  <si>
    <t>TMR2IE</t>
  </si>
  <si>
    <t>RCIF</t>
  </si>
  <si>
    <t>TXIF</t>
  </si>
  <si>
    <t>N.C.</t>
  </si>
  <si>
    <t>CCP1IF</t>
  </si>
  <si>
    <t>TMR2IF</t>
  </si>
  <si>
    <t>(RBIE)</t>
  </si>
  <si>
    <t>(RPIF)</t>
  </si>
  <si>
    <t>Flag changement d'état RB7-RB4</t>
  </si>
  <si>
    <t>C2OUT</t>
  </si>
  <si>
    <t>C1OUT</t>
  </si>
  <si>
    <t>C2INV</t>
  </si>
  <si>
    <t>C1INV</t>
  </si>
  <si>
    <t>a voir</t>
  </si>
  <si>
    <t>PCON        EQU</t>
  </si>
  <si>
    <t>VROE</t>
  </si>
  <si>
    <t>Configuration du registre  CMCON (Configuration du comparateur alimenté)</t>
  </si>
  <si>
    <t xml:space="preserve">000  comparateur inactif entrées ANALOGIQUES </t>
  </si>
  <si>
    <t xml:space="preserve">Choix des comparaisons </t>
  </si>
  <si>
    <r>
      <t xml:space="preserve">011 </t>
    </r>
    <r>
      <rPr>
        <b/>
        <sz val="10"/>
        <rFont val="Arial"/>
        <family val="2"/>
      </rPr>
      <t>C1</t>
    </r>
    <r>
      <rPr>
        <sz val="10"/>
        <rFont val="Arial"/>
        <family val="2"/>
      </rPr>
      <t xml:space="preserve"> compare RA0 à  RA2 /</t>
    </r>
    <r>
      <rPr>
        <b/>
        <sz val="10"/>
        <rFont val="Arial"/>
        <family val="2"/>
      </rPr>
      <t>C2</t>
    </r>
    <r>
      <rPr>
        <sz val="10"/>
        <rFont val="Arial"/>
        <family val="2"/>
      </rPr>
      <t xml:space="preserve"> compare RA1 0 RA2</t>
    </r>
  </si>
  <si>
    <r>
      <t xml:space="preserve">100 </t>
    </r>
    <r>
      <rPr>
        <b/>
        <sz val="10"/>
        <rFont val="Arial"/>
        <family val="2"/>
      </rPr>
      <t>C1</t>
    </r>
    <r>
      <rPr>
        <sz val="10"/>
        <rFont val="Arial"/>
        <family val="2"/>
      </rPr>
      <t xml:space="preserve"> compare  RA0/R3 : </t>
    </r>
    <r>
      <rPr>
        <b/>
        <sz val="10"/>
        <rFont val="Arial"/>
        <family val="2"/>
      </rPr>
      <t>C2</t>
    </r>
    <r>
      <rPr>
        <sz val="10"/>
        <rFont val="Arial"/>
        <family val="2"/>
      </rPr>
      <t xml:space="preserve"> compareRA1 /RA2</t>
    </r>
  </si>
  <si>
    <r>
      <t xml:space="preserve">100 </t>
    </r>
    <r>
      <rPr>
        <b/>
        <sz val="10"/>
        <rFont val="Arial"/>
        <family val="2"/>
      </rPr>
      <t>C2</t>
    </r>
    <r>
      <rPr>
        <sz val="10"/>
        <rFont val="Arial"/>
        <family val="2"/>
      </rPr>
      <t xml:space="preserve"> compare RA1 à RA2</t>
    </r>
  </si>
  <si>
    <t xml:space="preserve">111 comparateur inactif entrées NUMERIQUES </t>
  </si>
  <si>
    <t>(registres associés aux comparateurs :CMCON,VRCON,INTCON,PIR1,PIE1,TRISA</t>
  </si>
  <si>
    <r>
      <t xml:space="preserve">Configuration du registre PIR1  </t>
    </r>
    <r>
      <rPr>
        <b/>
        <sz val="10"/>
        <color indexed="10"/>
        <rFont val="Arial"/>
        <family val="2"/>
      </rPr>
      <t xml:space="preserve"> état des interruptions ( doivent etre initialisées dans  le programme )</t>
    </r>
  </si>
  <si>
    <r>
      <t>110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C2</t>
    </r>
    <r>
      <rPr>
        <sz val="10"/>
        <rFont val="Arial"/>
        <family val="2"/>
      </rPr>
      <t xml:space="preserve"> compare RA0 à RA2  sortie sur RA3 :</t>
    </r>
    <r>
      <rPr>
        <b/>
        <sz val="10"/>
        <rFont val="Arial"/>
        <family val="2"/>
      </rPr>
      <t>C1</t>
    </r>
    <r>
      <rPr>
        <sz val="10"/>
        <rFont val="Arial"/>
        <family val="2"/>
      </rPr>
      <t xml:space="preserve"> compare RA1 à RA2 sortie sur RA4</t>
    </r>
  </si>
  <si>
    <r>
      <t xml:space="preserve">Configuration du registre PCON </t>
    </r>
    <r>
      <rPr>
        <b/>
        <sz val="10"/>
        <color indexed="10"/>
        <rFont val="Arial"/>
        <family val="2"/>
      </rPr>
      <t xml:space="preserve"> ( état des Power_on MCLR WDT ou Brown-out)</t>
    </r>
  </si>
  <si>
    <t>BOD</t>
  </si>
  <si>
    <t>POR</t>
  </si>
  <si>
    <t xml:space="preserve">V. réf. </t>
  </si>
  <si>
    <t>Volts</t>
  </si>
  <si>
    <r>
      <t>N.C</t>
    </r>
    <r>
      <rPr>
        <sz val="10"/>
        <color indexed="10"/>
        <rFont val="Arial"/>
        <family val="2"/>
      </rPr>
      <t>.</t>
    </r>
  </si>
  <si>
    <t>Type de protection</t>
  </si>
  <si>
    <t>version 9mai2007</t>
  </si>
  <si>
    <t>version9MAI2007</t>
  </si>
  <si>
    <t>version  9/5/2007</t>
  </si>
  <si>
    <r>
      <t xml:space="preserve">Résulat du comparateur </t>
    </r>
    <r>
      <rPr>
        <b/>
        <sz val="10"/>
        <rFont val="Arial"/>
        <family val="2"/>
      </rPr>
      <t>C2</t>
    </r>
  </si>
  <si>
    <r>
      <t>Résulat du comparateur</t>
    </r>
    <r>
      <rPr>
        <b/>
        <sz val="10"/>
        <rFont val="Arial"/>
        <family val="2"/>
      </rPr>
      <t xml:space="preserve"> C1</t>
    </r>
  </si>
  <si>
    <t>data sheet page 96</t>
  </si>
  <si>
    <t>etat de mode de  capture/compare</t>
  </si>
  <si>
    <t>data sheet p23</t>
  </si>
  <si>
    <t>data sheet p24</t>
  </si>
  <si>
    <t>HEXA</t>
  </si>
  <si>
    <t>b12</t>
  </si>
  <si>
    <t>Binaire en hexa</t>
  </si>
  <si>
    <t>CMCON=</t>
  </si>
  <si>
    <t>VRR=0</t>
  </si>
  <si>
    <t>VRR=1</t>
  </si>
  <si>
    <t>0000</t>
  </si>
  <si>
    <t>0007</t>
  </si>
  <si>
    <t>0006</t>
  </si>
  <si>
    <t>0005</t>
  </si>
  <si>
    <t>0004</t>
  </si>
  <si>
    <t>0003</t>
  </si>
  <si>
    <t>0002</t>
  </si>
  <si>
    <t>0001</t>
  </si>
  <si>
    <r>
      <t>choix gamme de tension</t>
    </r>
    <r>
      <rPr>
        <b/>
        <sz val="10"/>
        <rFont val="Arial"/>
        <family val="2"/>
      </rPr>
      <t xml:space="preserve"> 0-3,15</t>
    </r>
    <r>
      <rPr>
        <sz val="10"/>
        <rFont val="Arial"/>
        <family val="2"/>
      </rPr>
      <t xml:space="preserve">V ou </t>
    </r>
    <r>
      <rPr>
        <b/>
        <sz val="10"/>
        <rFont val="Arial"/>
        <family val="2"/>
      </rPr>
      <t>1,25-3,6</t>
    </r>
    <r>
      <rPr>
        <sz val="10"/>
        <rFont val="Arial"/>
        <family val="2"/>
      </rPr>
      <t>V(pour VDD=5V)</t>
    </r>
  </si>
  <si>
    <t>0010</t>
  </si>
  <si>
    <t>0011</t>
  </si>
  <si>
    <t>0100</t>
  </si>
  <si>
    <t>0101</t>
  </si>
  <si>
    <t>0110</t>
  </si>
  <si>
    <t>0111</t>
  </si>
  <si>
    <t>b3,b2,b1,b0</t>
  </si>
  <si>
    <t>Valeurs possibles  des tensions pour VDD=</t>
  </si>
  <si>
    <t>1000</t>
  </si>
  <si>
    <t>1001</t>
  </si>
  <si>
    <t>1010</t>
  </si>
  <si>
    <t>1011</t>
  </si>
  <si>
    <t>1100</t>
  </si>
  <si>
    <t>1101</t>
  </si>
  <si>
    <t>1110</t>
  </si>
  <si>
    <t>1111</t>
  </si>
  <si>
    <t xml:space="preserve">                    b5</t>
  </si>
  <si>
    <t xml:space="preserve">                b5</t>
  </si>
  <si>
    <r>
      <t>1</t>
    </r>
    <r>
      <rPr>
        <sz val="10"/>
        <rFont val="Arial"/>
        <family val="2"/>
      </rPr>
      <t xml:space="preserve">010   </t>
    </r>
    <r>
      <rPr>
        <sz val="10"/>
        <color indexed="10"/>
        <rFont val="Arial"/>
        <family val="2"/>
      </rPr>
      <t>(CIS=1)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C1</t>
    </r>
    <r>
      <rPr>
        <sz val="10"/>
        <rFont val="Arial"/>
        <family val="2"/>
      </rPr>
      <t xml:space="preserve"> compare  RA3 à Vref :</t>
    </r>
    <r>
      <rPr>
        <b/>
        <sz val="10"/>
        <rFont val="Arial"/>
        <family val="2"/>
      </rPr>
      <t>C2</t>
    </r>
    <r>
      <rPr>
        <sz val="10"/>
        <rFont val="Arial"/>
        <family val="2"/>
      </rPr>
      <t xml:space="preserve"> compare RA2 à Ref</t>
    </r>
  </si>
  <si>
    <r>
      <t>0</t>
    </r>
    <r>
      <rPr>
        <sz val="10"/>
        <rFont val="Arial"/>
        <family val="2"/>
      </rPr>
      <t xml:space="preserve">010 </t>
    </r>
    <r>
      <rPr>
        <sz val="10"/>
        <color indexed="10"/>
        <rFont val="Arial"/>
        <family val="2"/>
      </rPr>
      <t xml:space="preserve"> ( CIS=0) </t>
    </r>
    <r>
      <rPr>
        <b/>
        <sz val="10"/>
        <rFont val="Arial"/>
        <family val="2"/>
      </rPr>
      <t>C1</t>
    </r>
    <r>
      <rPr>
        <sz val="10"/>
        <rFont val="Arial"/>
        <family val="2"/>
      </rPr>
      <t xml:space="preserve"> compare RA0 à Vref :</t>
    </r>
    <r>
      <rPr>
        <b/>
        <sz val="10"/>
        <rFont val="Arial"/>
        <family val="2"/>
      </rPr>
      <t>C2</t>
    </r>
    <r>
      <rPr>
        <sz val="10"/>
        <rFont val="Arial"/>
        <family val="2"/>
      </rPr>
      <t xml:space="preserve"> compare RA1 à Ref</t>
    </r>
  </si>
  <si>
    <r>
      <t>1</t>
    </r>
    <r>
      <rPr>
        <sz val="10"/>
        <rFont val="Arial"/>
        <family val="2"/>
      </rPr>
      <t xml:space="preserve">001 </t>
    </r>
    <r>
      <rPr>
        <sz val="10"/>
        <color indexed="10"/>
        <rFont val="Arial"/>
        <family val="2"/>
      </rPr>
      <t xml:space="preserve"> ( CIS=1)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C1</t>
    </r>
    <r>
      <rPr>
        <sz val="10"/>
        <rFont val="Arial"/>
        <family val="2"/>
      </rPr>
      <t xml:space="preserve"> compare  RA3 à RA2 :</t>
    </r>
    <r>
      <rPr>
        <b/>
        <sz val="10"/>
        <rFont val="Arial"/>
        <family val="2"/>
      </rPr>
      <t>C2</t>
    </r>
    <r>
      <rPr>
        <sz val="10"/>
        <rFont val="Arial"/>
        <family val="2"/>
      </rPr>
      <t xml:space="preserve">  compare RA1 à RA2</t>
    </r>
  </si>
  <si>
    <r>
      <t>0</t>
    </r>
    <r>
      <rPr>
        <sz val="10"/>
        <rFont val="Arial"/>
        <family val="2"/>
      </rPr>
      <t xml:space="preserve">001  </t>
    </r>
    <r>
      <rPr>
        <sz val="10"/>
        <color indexed="10"/>
        <rFont val="Arial"/>
        <family val="2"/>
      </rPr>
      <t>(CIS=0)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C1</t>
    </r>
    <r>
      <rPr>
        <sz val="10"/>
        <rFont val="Arial"/>
        <family val="2"/>
      </rPr>
      <t xml:space="preserve"> compare RA0à RA2 :</t>
    </r>
    <r>
      <rPr>
        <b/>
        <sz val="10"/>
        <rFont val="Arial"/>
        <family val="2"/>
      </rPr>
      <t>C2</t>
    </r>
    <r>
      <rPr>
        <sz val="10"/>
        <rFont val="Arial"/>
        <family val="2"/>
      </rPr>
      <t xml:space="preserve">  compare RA1 à RA2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</si>
</sst>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&quot; &quot;???/???"/>
    <numFmt numFmtId="166" formatCode="0.000000"/>
    <numFmt numFmtId="167" formatCode="&quot;Vrai&quot;;&quot;Vrai&quot;;&quot;Faux&quot;"/>
    <numFmt numFmtId="168" formatCode="&quot;Actif&quot;;&quot;Actif&quot;;&quot;Inactif&quot;"/>
  </numFmts>
  <fonts count="30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48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8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3" borderId="0" xfId="0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right"/>
    </xf>
    <xf numFmtId="0" fontId="0" fillId="4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5" borderId="0" xfId="0" applyFont="1" applyFill="1" applyBorder="1" applyAlignment="1">
      <alignment horizontal="left"/>
    </xf>
    <xf numFmtId="0" fontId="0" fillId="6" borderId="0" xfId="0" applyFill="1" applyBorder="1" applyAlignment="1">
      <alignment/>
    </xf>
    <xf numFmtId="0" fontId="10" fillId="5" borderId="0" xfId="0" applyFont="1" applyFill="1" applyBorder="1" applyAlignment="1">
      <alignment horizontal="center"/>
    </xf>
    <xf numFmtId="0" fontId="10" fillId="5" borderId="0" xfId="0" applyFont="1" applyFill="1" applyBorder="1" applyAlignment="1" quotePrefix="1">
      <alignment horizontal="center"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7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7" borderId="2" xfId="0" applyFont="1" applyFill="1" applyBorder="1" applyAlignment="1" applyProtection="1">
      <alignment horizontal="center"/>
      <protection locked="0"/>
    </xf>
    <xf numFmtId="0" fontId="4" fillId="7" borderId="3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8" borderId="2" xfId="0" applyFont="1" applyFill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4" fillId="8" borderId="1" xfId="0" applyFont="1" applyFill="1" applyBorder="1" applyAlignment="1" applyProtection="1">
      <alignment horizontal="center"/>
      <protection locked="0"/>
    </xf>
    <xf numFmtId="0" fontId="4" fillId="8" borderId="3" xfId="0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6" borderId="1" xfId="0" applyFont="1" applyFill="1" applyBorder="1" applyAlignment="1" applyProtection="1">
      <alignment/>
      <protection locked="0"/>
    </xf>
    <xf numFmtId="0" fontId="4" fillId="6" borderId="2" xfId="0" applyFont="1" applyFill="1" applyBorder="1" applyAlignment="1" applyProtection="1">
      <alignment/>
      <protection locked="0"/>
    </xf>
    <xf numFmtId="0" fontId="8" fillId="6" borderId="2" xfId="0" applyFont="1" applyFill="1" applyBorder="1" applyAlignment="1" applyProtection="1">
      <alignment/>
      <protection locked="0"/>
    </xf>
    <xf numFmtId="0" fontId="8" fillId="6" borderId="3" xfId="0" applyFont="1" applyFill="1" applyBorder="1" applyAlignment="1" applyProtection="1">
      <alignment/>
      <protection locked="0"/>
    </xf>
    <xf numFmtId="0" fontId="4" fillId="5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6" borderId="2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 quotePrefix="1">
      <alignment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3" fontId="11" fillId="0" borderId="0" xfId="0" applyNumberFormat="1" applyFont="1" applyBorder="1" applyAlignment="1">
      <alignment horizontal="center"/>
    </xf>
    <xf numFmtId="166" fontId="20" fillId="0" borderId="0" xfId="0" applyNumberFormat="1" applyFont="1" applyBorder="1" applyAlignment="1">
      <alignment/>
    </xf>
    <xf numFmtId="0" fontId="20" fillId="0" borderId="4" xfId="0" applyFont="1" applyBorder="1" applyAlignment="1" applyProtection="1">
      <alignment/>
      <protection locked="0"/>
    </xf>
    <xf numFmtId="0" fontId="19" fillId="0" borderId="6" xfId="0" applyFont="1" applyBorder="1" applyAlignment="1">
      <alignment/>
    </xf>
    <xf numFmtId="0" fontId="20" fillId="0" borderId="7" xfId="0" applyFont="1" applyBorder="1" applyAlignment="1" applyProtection="1">
      <alignment/>
      <protection locked="0"/>
    </xf>
    <xf numFmtId="0" fontId="19" fillId="0" borderId="8" xfId="0" applyFont="1" applyBorder="1" applyAlignment="1">
      <alignment/>
    </xf>
    <xf numFmtId="0" fontId="20" fillId="0" borderId="9" xfId="0" applyFont="1" applyBorder="1" applyAlignment="1" applyProtection="1">
      <alignment/>
      <protection locked="0"/>
    </xf>
    <xf numFmtId="0" fontId="19" fillId="0" borderId="11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11" fillId="0" borderId="0" xfId="0" applyFont="1" applyBorder="1" applyAlignment="1" applyProtection="1">
      <alignment/>
      <protection locked="0"/>
    </xf>
    <xf numFmtId="0" fontId="19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1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7" xfId="0" applyFont="1" applyBorder="1" applyAlignment="1">
      <alignment/>
    </xf>
    <xf numFmtId="0" fontId="0" fillId="4" borderId="8" xfId="0" applyFill="1" applyBorder="1" applyAlignment="1">
      <alignment/>
    </xf>
    <xf numFmtId="0" fontId="4" fillId="0" borderId="5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6" fontId="4" fillId="5" borderId="7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3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7" xfId="0" applyFont="1" applyBorder="1" applyAlignment="1">
      <alignment/>
    </xf>
    <xf numFmtId="164" fontId="11" fillId="0" borderId="0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7" fillId="0" borderId="2" xfId="0" applyFont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7" fillId="0" borderId="2" xfId="0" applyFont="1" applyBorder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 quotePrefix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0" fillId="9" borderId="20" xfId="0" applyFont="1" applyFill="1" applyBorder="1" applyAlignment="1">
      <alignment horizontal="center"/>
    </xf>
    <xf numFmtId="0" fontId="0" fillId="9" borderId="23" xfId="0" applyFont="1" applyFill="1" applyBorder="1" applyAlignment="1">
      <alignment/>
    </xf>
    <xf numFmtId="0" fontId="0" fillId="9" borderId="0" xfId="0" applyFont="1" applyFill="1" applyBorder="1" applyAlignment="1">
      <alignment horizontal="center"/>
    </xf>
    <xf numFmtId="0" fontId="19" fillId="5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" fillId="4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" fillId="1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10" borderId="2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"/>
    </xf>
    <xf numFmtId="0" fontId="2" fillId="2" borderId="27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2" fillId="4" borderId="27" xfId="0" applyFont="1" applyFill="1" applyBorder="1" applyAlignment="1">
      <alignment/>
    </xf>
    <xf numFmtId="0" fontId="2" fillId="4" borderId="29" xfId="0" applyFont="1" applyFill="1" applyBorder="1" applyAlignment="1">
      <alignment/>
    </xf>
    <xf numFmtId="0" fontId="2" fillId="4" borderId="28" xfId="0" applyFont="1" applyFill="1" applyBorder="1" applyAlignment="1">
      <alignment/>
    </xf>
    <xf numFmtId="0" fontId="2" fillId="9" borderId="0" xfId="0" applyFont="1" applyFill="1" applyAlignment="1">
      <alignment/>
    </xf>
    <xf numFmtId="0" fontId="0" fillId="9" borderId="0" xfId="0" applyFill="1" applyAlignment="1">
      <alignment/>
    </xf>
    <xf numFmtId="0" fontId="2" fillId="9" borderId="27" xfId="0" applyFont="1" applyFill="1" applyBorder="1" applyAlignment="1">
      <alignment/>
    </xf>
    <xf numFmtId="0" fontId="2" fillId="9" borderId="29" xfId="0" applyFont="1" applyFill="1" applyBorder="1" applyAlignment="1">
      <alignment/>
    </xf>
    <xf numFmtId="0" fontId="2" fillId="9" borderId="28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Border="1" applyAlignment="1">
      <alignment horizontal="left"/>
    </xf>
    <xf numFmtId="0" fontId="9" fillId="0" borderId="1" xfId="0" applyFont="1" applyBorder="1" applyAlignment="1" applyProtection="1">
      <alignment horizontal="center"/>
      <protection locked="0"/>
    </xf>
    <xf numFmtId="0" fontId="2" fillId="2" borderId="0" xfId="0" applyFont="1" applyFill="1" applyBorder="1" applyAlignment="1" quotePrefix="1">
      <alignment horizontal="left"/>
    </xf>
    <xf numFmtId="0" fontId="0" fillId="2" borderId="0" xfId="0" applyFill="1" applyBorder="1" applyAlignment="1">
      <alignment/>
    </xf>
    <xf numFmtId="0" fontId="1" fillId="0" borderId="5" xfId="0" applyFont="1" applyBorder="1" applyAlignment="1">
      <alignment/>
    </xf>
    <xf numFmtId="0" fontId="0" fillId="0" borderId="8" xfId="0" applyBorder="1" applyAlignment="1">
      <alignment horizontal="right"/>
    </xf>
    <xf numFmtId="0" fontId="2" fillId="5" borderId="0" xfId="0" applyFont="1" applyFill="1" applyBorder="1" applyAlignment="1">
      <alignment/>
    </xf>
    <xf numFmtId="0" fontId="20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0" fillId="2" borderId="8" xfId="0" applyFill="1" applyBorder="1" applyAlignment="1">
      <alignment horizontal="right"/>
    </xf>
    <xf numFmtId="0" fontId="0" fillId="2" borderId="8" xfId="0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6" xfId="0" applyBorder="1" applyAlignment="1">
      <alignment horizontal="right"/>
    </xf>
    <xf numFmtId="0" fontId="2" fillId="2" borderId="0" xfId="0" applyFont="1" applyFill="1" applyBorder="1" applyAlignment="1">
      <alignment/>
    </xf>
    <xf numFmtId="0" fontId="0" fillId="7" borderId="0" xfId="0" applyFill="1" applyBorder="1" applyAlignment="1">
      <alignment horizontal="left"/>
    </xf>
    <xf numFmtId="0" fontId="19" fillId="7" borderId="0" xfId="0" applyFont="1" applyFill="1" applyBorder="1" applyAlignment="1">
      <alignment horizontal="left"/>
    </xf>
    <xf numFmtId="0" fontId="19" fillId="6" borderId="0" xfId="0" applyFont="1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2" borderId="0" xfId="0" applyFont="1" applyFill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/>
      <protection/>
    </xf>
    <xf numFmtId="0" fontId="19" fillId="2" borderId="0" xfId="0" applyFont="1" applyFill="1" applyBorder="1" applyAlignment="1" quotePrefix="1">
      <alignment horizontal="left"/>
    </xf>
    <xf numFmtId="164" fontId="11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0" fillId="0" borderId="4" xfId="0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8" fillId="6" borderId="2" xfId="0" applyFont="1" applyFill="1" applyBorder="1" applyAlignment="1" applyProtection="1">
      <alignment horizontal="center"/>
      <protection locked="0"/>
    </xf>
    <xf numFmtId="0" fontId="8" fillId="6" borderId="3" xfId="0" applyFont="1" applyFill="1" applyBorder="1" applyAlignment="1" applyProtection="1">
      <alignment horizontal="center"/>
      <protection locked="0"/>
    </xf>
    <xf numFmtId="0" fontId="20" fillId="0" borderId="9" xfId="0" applyFont="1" applyBorder="1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35" xfId="0" applyBorder="1" applyAlignment="1" quotePrefix="1">
      <alignment horizontal="center"/>
    </xf>
    <xf numFmtId="0" fontId="0" fillId="0" borderId="36" xfId="0" applyBorder="1" applyAlignment="1" quotePrefix="1">
      <alignment horizontal="center"/>
    </xf>
    <xf numFmtId="0" fontId="2" fillId="0" borderId="4" xfId="0" applyFont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/>
    </xf>
    <xf numFmtId="164" fontId="0" fillId="2" borderId="38" xfId="0" applyNumberFormat="1" applyFill="1" applyBorder="1" applyAlignment="1">
      <alignment/>
    </xf>
    <xf numFmtId="164" fontId="0" fillId="2" borderId="39" xfId="0" applyNumberFormat="1" applyFill="1" applyBorder="1" applyAlignment="1">
      <alignment/>
    </xf>
    <xf numFmtId="0" fontId="2" fillId="11" borderId="40" xfId="0" applyFont="1" applyFill="1" applyBorder="1" applyAlignment="1">
      <alignment horizontal="center"/>
    </xf>
    <xf numFmtId="164" fontId="0" fillId="11" borderId="41" xfId="0" applyNumberFormat="1" applyFill="1" applyBorder="1" applyAlignment="1">
      <alignment/>
    </xf>
    <xf numFmtId="164" fontId="0" fillId="11" borderId="42" xfId="0" applyNumberFormat="1" applyFill="1" applyBorder="1" applyAlignment="1">
      <alignment/>
    </xf>
    <xf numFmtId="0" fontId="2" fillId="0" borderId="43" xfId="0" applyFont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11" borderId="45" xfId="0" applyFont="1" applyFill="1" applyBorder="1" applyAlignment="1">
      <alignment horizontal="center"/>
    </xf>
    <xf numFmtId="0" fontId="1" fillId="2" borderId="0" xfId="0" applyFont="1" applyFill="1" applyBorder="1" applyAlignment="1" quotePrefix="1">
      <alignment horizontal="left"/>
    </xf>
    <xf numFmtId="164" fontId="1" fillId="0" borderId="0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b/>
        <i val="0"/>
        <color rgb="FFFF000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Conversion!$C$13:$M$13</c:f>
              <c:numCache/>
            </c:numRef>
          </c:xVal>
          <c:yVal>
            <c:numRef>
              <c:f>Conversion!$C$14:$M$14</c:f>
              <c:numCache/>
            </c:numRef>
          </c:yVal>
          <c:smooth val="1"/>
        </c:ser>
        <c:axId val="45165558"/>
        <c:axId val="3836839"/>
      </c:scatterChart>
      <c:valAx>
        <c:axId val="45165558"/>
        <c:scaling>
          <c:orientation val="minMax"/>
          <c:max val="1024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836839"/>
        <c:crosses val="autoZero"/>
        <c:crossBetween val="midCat"/>
        <c:dispUnits/>
        <c:minorUnit val="50"/>
      </c:valAx>
      <c:valAx>
        <c:axId val="3836839"/>
        <c:scaling>
          <c:orientation val="minMax"/>
          <c:max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655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36</xdr:row>
      <xdr:rowOff>38100</xdr:rowOff>
    </xdr:from>
    <xdr:to>
      <xdr:col>6</xdr:col>
      <xdr:colOff>171450</xdr:colOff>
      <xdr:row>38</xdr:row>
      <xdr:rowOff>171450</xdr:rowOff>
    </xdr:to>
    <xdr:sp>
      <xdr:nvSpPr>
        <xdr:cNvPr id="1" name="Line 1"/>
        <xdr:cNvSpPr>
          <a:spLocks/>
        </xdr:cNvSpPr>
      </xdr:nvSpPr>
      <xdr:spPr>
        <a:xfrm>
          <a:off x="5457825" y="68770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26</xdr:row>
      <xdr:rowOff>57150</xdr:rowOff>
    </xdr:from>
    <xdr:to>
      <xdr:col>5</xdr:col>
      <xdr:colOff>142875</xdr:colOff>
      <xdr:row>28</xdr:row>
      <xdr:rowOff>66675</xdr:rowOff>
    </xdr:to>
    <xdr:sp>
      <xdr:nvSpPr>
        <xdr:cNvPr id="2" name="Line 2"/>
        <xdr:cNvSpPr>
          <a:spLocks/>
        </xdr:cNvSpPr>
      </xdr:nvSpPr>
      <xdr:spPr>
        <a:xfrm>
          <a:off x="4829175" y="5067300"/>
          <a:ext cx="0" cy="3333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5</xdr:row>
      <xdr:rowOff>9525</xdr:rowOff>
    </xdr:from>
    <xdr:to>
      <xdr:col>3</xdr:col>
      <xdr:colOff>190500</xdr:colOff>
      <xdr:row>6</xdr:row>
      <xdr:rowOff>123825</xdr:rowOff>
    </xdr:to>
    <xdr:sp>
      <xdr:nvSpPr>
        <xdr:cNvPr id="3" name="Line 3"/>
        <xdr:cNvSpPr>
          <a:spLocks/>
        </xdr:cNvSpPr>
      </xdr:nvSpPr>
      <xdr:spPr>
        <a:xfrm>
          <a:off x="3133725" y="1438275"/>
          <a:ext cx="0" cy="276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45</xdr:row>
      <xdr:rowOff>9525</xdr:rowOff>
    </xdr:from>
    <xdr:to>
      <xdr:col>1</xdr:col>
      <xdr:colOff>161925</xdr:colOff>
      <xdr:row>51</xdr:row>
      <xdr:rowOff>171450</xdr:rowOff>
    </xdr:to>
    <xdr:grpSp>
      <xdr:nvGrpSpPr>
        <xdr:cNvPr id="4" name="Group 4"/>
        <xdr:cNvGrpSpPr>
          <a:grpSpLocks/>
        </xdr:cNvGrpSpPr>
      </xdr:nvGrpSpPr>
      <xdr:grpSpPr>
        <a:xfrm>
          <a:off x="409575" y="8562975"/>
          <a:ext cx="1143000" cy="1362075"/>
          <a:chOff x="43" y="885"/>
          <a:chExt cx="120" cy="143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60" y="885"/>
            <a:ext cx="86" cy="1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3" y="885"/>
            <a:ext cx="16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146" y="885"/>
            <a:ext cx="17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44" y="926"/>
            <a:ext cx="16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44" y="968"/>
            <a:ext cx="16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43" y="1010"/>
            <a:ext cx="16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147" y="926"/>
            <a:ext cx="16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147" y="968"/>
            <a:ext cx="16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147" y="1010"/>
            <a:ext cx="16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 flipV="1">
            <a:off x="93" y="885"/>
            <a:ext cx="16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149" y="892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238125</xdr:colOff>
      <xdr:row>142</xdr:row>
      <xdr:rowOff>47625</xdr:rowOff>
    </xdr:from>
    <xdr:to>
      <xdr:col>6</xdr:col>
      <xdr:colOff>1019175</xdr:colOff>
      <xdr:row>145</xdr:row>
      <xdr:rowOff>123825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524500" y="26946225"/>
          <a:ext cx="7810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Paramètres 
de la tension de référence 
    + f(b5)</a:t>
          </a:r>
        </a:p>
      </xdr:txBody>
    </xdr:sp>
    <xdr:clientData/>
  </xdr:twoCellAnchor>
  <xdr:twoCellAnchor>
    <xdr:from>
      <xdr:col>6</xdr:col>
      <xdr:colOff>133350</xdr:colOff>
      <xdr:row>142</xdr:row>
      <xdr:rowOff>28575</xdr:rowOff>
    </xdr:from>
    <xdr:to>
      <xdr:col>6</xdr:col>
      <xdr:colOff>133350</xdr:colOff>
      <xdr:row>145</xdr:row>
      <xdr:rowOff>171450</xdr:rowOff>
    </xdr:to>
    <xdr:sp>
      <xdr:nvSpPr>
        <xdr:cNvPr id="17" name="Line 17"/>
        <xdr:cNvSpPr>
          <a:spLocks/>
        </xdr:cNvSpPr>
      </xdr:nvSpPr>
      <xdr:spPr>
        <a:xfrm>
          <a:off x="5419725" y="269271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127</xdr:row>
      <xdr:rowOff>38100</xdr:rowOff>
    </xdr:from>
    <xdr:to>
      <xdr:col>6</xdr:col>
      <xdr:colOff>114300</xdr:colOff>
      <xdr:row>129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5400675" y="241363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127</xdr:row>
      <xdr:rowOff>114300</xdr:rowOff>
    </xdr:from>
    <xdr:to>
      <xdr:col>7</xdr:col>
      <xdr:colOff>295275</xdr:colOff>
      <xdr:row>129</xdr:row>
      <xdr:rowOff>95250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572125" y="24212550"/>
          <a:ext cx="16383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Mode de comparateur
( 111 Hors service)</a:t>
          </a:r>
        </a:p>
      </xdr:txBody>
    </xdr:sp>
    <xdr:clientData/>
  </xdr:twoCellAnchor>
  <xdr:twoCellAnchor>
    <xdr:from>
      <xdr:col>0</xdr:col>
      <xdr:colOff>1076325</xdr:colOff>
      <xdr:row>122</xdr:row>
      <xdr:rowOff>180975</xdr:rowOff>
    </xdr:from>
    <xdr:to>
      <xdr:col>0</xdr:col>
      <xdr:colOff>1076325</xdr:colOff>
      <xdr:row>131</xdr:row>
      <xdr:rowOff>142875</xdr:rowOff>
    </xdr:to>
    <xdr:sp>
      <xdr:nvSpPr>
        <xdr:cNvPr id="20" name="Line 36"/>
        <xdr:cNvSpPr>
          <a:spLocks/>
        </xdr:cNvSpPr>
      </xdr:nvSpPr>
      <xdr:spPr>
        <a:xfrm>
          <a:off x="1076325" y="23279100"/>
          <a:ext cx="0" cy="1733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121</xdr:row>
      <xdr:rowOff>133350</xdr:rowOff>
    </xdr:from>
    <xdr:to>
      <xdr:col>2</xdr:col>
      <xdr:colOff>723900</xdr:colOff>
      <xdr:row>129</xdr:row>
      <xdr:rowOff>190500</xdr:rowOff>
    </xdr:to>
    <xdr:grpSp>
      <xdr:nvGrpSpPr>
        <xdr:cNvPr id="21" name="Group 89"/>
        <xdr:cNvGrpSpPr>
          <a:grpSpLocks/>
        </xdr:cNvGrpSpPr>
      </xdr:nvGrpSpPr>
      <xdr:grpSpPr>
        <a:xfrm>
          <a:off x="104775" y="23060025"/>
          <a:ext cx="2800350" cy="1628775"/>
          <a:chOff x="11" y="2421"/>
          <a:chExt cx="294" cy="171"/>
        </a:xfrm>
        <a:solidFill>
          <a:srgbClr val="FFFFFF"/>
        </a:solidFill>
      </xdr:grpSpPr>
      <xdr:sp>
        <xdr:nvSpPr>
          <xdr:cNvPr id="22" name="Line 20"/>
          <xdr:cNvSpPr>
            <a:spLocks/>
          </xdr:cNvSpPr>
        </xdr:nvSpPr>
        <xdr:spPr>
          <a:xfrm>
            <a:off x="156" y="2467"/>
            <a:ext cx="0" cy="1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1"/>
          <xdr:cNvSpPr>
            <a:spLocks/>
          </xdr:cNvSpPr>
        </xdr:nvSpPr>
        <xdr:spPr>
          <a:xfrm>
            <a:off x="157" y="2468"/>
            <a:ext cx="8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2"/>
          <xdr:cNvSpPr>
            <a:spLocks/>
          </xdr:cNvSpPr>
        </xdr:nvSpPr>
        <xdr:spPr>
          <a:xfrm flipV="1">
            <a:off x="156" y="2532"/>
            <a:ext cx="84" cy="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3"/>
          <xdr:cNvSpPr>
            <a:spLocks/>
          </xdr:cNvSpPr>
        </xdr:nvSpPr>
        <xdr:spPr>
          <a:xfrm>
            <a:off x="136" y="2488"/>
            <a:ext cx="21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4"/>
          <xdr:cNvSpPr>
            <a:spLocks/>
          </xdr:cNvSpPr>
        </xdr:nvSpPr>
        <xdr:spPr>
          <a:xfrm>
            <a:off x="140" y="2573"/>
            <a:ext cx="1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TextBox 25"/>
          <xdr:cNvSpPr txBox="1">
            <a:spLocks noChangeArrowheads="1"/>
          </xdr:cNvSpPr>
        </xdr:nvSpPr>
        <xdr:spPr>
          <a:xfrm>
            <a:off x="158" y="2472"/>
            <a:ext cx="3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Vin-</a:t>
            </a:r>
          </a:p>
        </xdr:txBody>
      </xdr:sp>
      <xdr:sp>
        <xdr:nvSpPr>
          <xdr:cNvPr id="28" name="TextBox 26"/>
          <xdr:cNvSpPr txBox="1">
            <a:spLocks noChangeArrowheads="1"/>
          </xdr:cNvSpPr>
        </xdr:nvSpPr>
        <xdr:spPr>
          <a:xfrm>
            <a:off x="156" y="2563"/>
            <a:ext cx="37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Vin+</a:t>
            </a:r>
          </a:p>
        </xdr:txBody>
      </xdr:sp>
      <xdr:sp>
        <xdr:nvSpPr>
          <xdr:cNvPr id="29" name="Line 27"/>
          <xdr:cNvSpPr>
            <a:spLocks/>
          </xdr:cNvSpPr>
        </xdr:nvSpPr>
        <xdr:spPr>
          <a:xfrm>
            <a:off x="242" y="2531"/>
            <a:ext cx="21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28"/>
          <xdr:cNvSpPr>
            <a:spLocks/>
          </xdr:cNvSpPr>
        </xdr:nvSpPr>
        <xdr:spPr>
          <a:xfrm>
            <a:off x="78" y="2477"/>
            <a:ext cx="21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29"/>
          <xdr:cNvSpPr>
            <a:spLocks/>
          </xdr:cNvSpPr>
        </xdr:nvSpPr>
        <xdr:spPr>
          <a:xfrm>
            <a:off x="79" y="2501"/>
            <a:ext cx="21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0"/>
          <xdr:cNvSpPr>
            <a:spLocks/>
          </xdr:cNvSpPr>
        </xdr:nvSpPr>
        <xdr:spPr>
          <a:xfrm>
            <a:off x="88" y="2562"/>
            <a:ext cx="21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TextBox 31"/>
          <xdr:cNvSpPr txBox="1">
            <a:spLocks noChangeArrowheads="1"/>
          </xdr:cNvSpPr>
        </xdr:nvSpPr>
        <xdr:spPr>
          <a:xfrm>
            <a:off x="242" y="2500"/>
            <a:ext cx="63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b6  COUT</a:t>
            </a:r>
          </a:p>
        </xdr:txBody>
      </xdr:sp>
      <xdr:sp>
        <xdr:nvSpPr>
          <xdr:cNvPr id="34" name="TextBox 33"/>
          <xdr:cNvSpPr txBox="1">
            <a:spLocks noChangeArrowheads="1"/>
          </xdr:cNvSpPr>
        </xdr:nvSpPr>
        <xdr:spPr>
          <a:xfrm>
            <a:off x="11" y="2553"/>
            <a:ext cx="76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GP2/COUT</a:t>
            </a:r>
          </a:p>
        </xdr:txBody>
      </xdr:sp>
      <xdr:sp>
        <xdr:nvSpPr>
          <xdr:cNvPr id="35" name="TextBox 34"/>
          <xdr:cNvSpPr txBox="1">
            <a:spLocks noChangeArrowheads="1"/>
          </xdr:cNvSpPr>
        </xdr:nvSpPr>
        <xdr:spPr>
          <a:xfrm>
            <a:off x="12" y="2491"/>
            <a:ext cx="71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GP0/CIN+</a:t>
            </a:r>
          </a:p>
        </xdr:txBody>
      </xdr:sp>
      <xdr:sp>
        <xdr:nvSpPr>
          <xdr:cNvPr id="36" name="TextBox 35"/>
          <xdr:cNvSpPr txBox="1">
            <a:spLocks noChangeArrowheads="1"/>
          </xdr:cNvSpPr>
        </xdr:nvSpPr>
        <xdr:spPr>
          <a:xfrm>
            <a:off x="14" y="2465"/>
            <a:ext cx="67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GP1/CIN-</a:t>
            </a:r>
          </a:p>
        </xdr:txBody>
      </xdr:sp>
      <xdr:sp>
        <xdr:nvSpPr>
          <xdr:cNvPr id="37" name="TextBox 37"/>
          <xdr:cNvSpPr txBox="1">
            <a:spLocks noChangeArrowheads="1"/>
          </xdr:cNvSpPr>
        </xdr:nvSpPr>
        <xdr:spPr>
          <a:xfrm>
            <a:off x="37" y="2421"/>
            <a:ext cx="61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Externe </a:t>
            </a:r>
          </a:p>
        </xdr:txBody>
      </xdr:sp>
      <xdr:sp>
        <xdr:nvSpPr>
          <xdr:cNvPr id="38" name="TextBox 38"/>
          <xdr:cNvSpPr txBox="1">
            <a:spLocks noChangeArrowheads="1"/>
          </xdr:cNvSpPr>
        </xdr:nvSpPr>
        <xdr:spPr>
          <a:xfrm>
            <a:off x="147" y="2426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Interne </a:t>
            </a:r>
          </a:p>
        </xdr:txBody>
      </xdr:sp>
      <xdr:sp>
        <xdr:nvSpPr>
          <xdr:cNvPr id="39" name="TextBox 39"/>
          <xdr:cNvSpPr txBox="1">
            <a:spLocks noChangeArrowheads="1"/>
          </xdr:cNvSpPr>
        </xdr:nvSpPr>
        <xdr:spPr>
          <a:xfrm>
            <a:off x="106" y="2478"/>
            <a:ext cx="33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CIS</a:t>
            </a:r>
          </a:p>
        </xdr:txBody>
      </xdr:sp>
    </xdr:grpSp>
    <xdr:clientData/>
  </xdr:twoCellAnchor>
  <xdr:twoCellAnchor>
    <xdr:from>
      <xdr:col>4</xdr:col>
      <xdr:colOff>38100</xdr:colOff>
      <xdr:row>172</xdr:row>
      <xdr:rowOff>38100</xdr:rowOff>
    </xdr:from>
    <xdr:to>
      <xdr:col>4</xdr:col>
      <xdr:colOff>485775</xdr:colOff>
      <xdr:row>172</xdr:row>
      <xdr:rowOff>38100</xdr:rowOff>
    </xdr:to>
    <xdr:sp>
      <xdr:nvSpPr>
        <xdr:cNvPr id="40" name="Line 40"/>
        <xdr:cNvSpPr>
          <a:spLocks/>
        </xdr:cNvSpPr>
      </xdr:nvSpPr>
      <xdr:spPr>
        <a:xfrm>
          <a:off x="3457575" y="323183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1266825</xdr:colOff>
      <xdr:row>164</xdr:row>
      <xdr:rowOff>57150</xdr:rowOff>
    </xdr:from>
    <xdr:to>
      <xdr:col>1</xdr:col>
      <xdr:colOff>628650</xdr:colOff>
      <xdr:row>166</xdr:row>
      <xdr:rowOff>104775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266825" y="30841950"/>
          <a:ext cx="7524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Calcul prescaler</a:t>
          </a:r>
        </a:p>
      </xdr:txBody>
    </xdr:sp>
    <xdr:clientData/>
  </xdr:twoCellAnchor>
  <xdr:twoCellAnchor>
    <xdr:from>
      <xdr:col>4</xdr:col>
      <xdr:colOff>285750</xdr:colOff>
      <xdr:row>189</xdr:row>
      <xdr:rowOff>28575</xdr:rowOff>
    </xdr:from>
    <xdr:to>
      <xdr:col>4</xdr:col>
      <xdr:colOff>590550</xdr:colOff>
      <xdr:row>189</xdr:row>
      <xdr:rowOff>28575</xdr:rowOff>
    </xdr:to>
    <xdr:sp>
      <xdr:nvSpPr>
        <xdr:cNvPr id="42" name="Line 42"/>
        <xdr:cNvSpPr>
          <a:spLocks/>
        </xdr:cNvSpPr>
      </xdr:nvSpPr>
      <xdr:spPr>
        <a:xfrm>
          <a:off x="3705225" y="355568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187</xdr:row>
      <xdr:rowOff>9525</xdr:rowOff>
    </xdr:from>
    <xdr:to>
      <xdr:col>6</xdr:col>
      <xdr:colOff>1095375</xdr:colOff>
      <xdr:row>188</xdr:row>
      <xdr:rowOff>19050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429250" y="35137725"/>
          <a:ext cx="952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Choix du canal</a:t>
          </a:r>
        </a:p>
      </xdr:txBody>
    </xdr:sp>
    <xdr:clientData/>
  </xdr:twoCellAnchor>
  <xdr:twoCellAnchor>
    <xdr:from>
      <xdr:col>6</xdr:col>
      <xdr:colOff>57150</xdr:colOff>
      <xdr:row>187</xdr:row>
      <xdr:rowOff>28575</xdr:rowOff>
    </xdr:from>
    <xdr:to>
      <xdr:col>6</xdr:col>
      <xdr:colOff>57150</xdr:colOff>
      <xdr:row>188</xdr:row>
      <xdr:rowOff>180975</xdr:rowOff>
    </xdr:to>
    <xdr:sp>
      <xdr:nvSpPr>
        <xdr:cNvPr id="44" name="Line 44"/>
        <xdr:cNvSpPr>
          <a:spLocks/>
        </xdr:cNvSpPr>
      </xdr:nvSpPr>
      <xdr:spPr>
        <a:xfrm>
          <a:off x="5343525" y="351567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200</xdr:row>
      <xdr:rowOff>38100</xdr:rowOff>
    </xdr:from>
    <xdr:to>
      <xdr:col>6</xdr:col>
      <xdr:colOff>66675</xdr:colOff>
      <xdr:row>202</xdr:row>
      <xdr:rowOff>171450</xdr:rowOff>
    </xdr:to>
    <xdr:sp>
      <xdr:nvSpPr>
        <xdr:cNvPr id="45" name="Line 45"/>
        <xdr:cNvSpPr>
          <a:spLocks/>
        </xdr:cNvSpPr>
      </xdr:nvSpPr>
      <xdr:spPr>
        <a:xfrm>
          <a:off x="5353050" y="375285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200</xdr:row>
      <xdr:rowOff>190500</xdr:rowOff>
    </xdr:from>
    <xdr:to>
      <xdr:col>6</xdr:col>
      <xdr:colOff>1581150</xdr:colOff>
      <xdr:row>201</xdr:row>
      <xdr:rowOff>190500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410200" y="37680900"/>
          <a:ext cx="14573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Selection de l'horloge</a:t>
          </a:r>
        </a:p>
      </xdr:txBody>
    </xdr:sp>
    <xdr:clientData/>
  </xdr:twoCellAnchor>
  <xdr:twoCellAnchor>
    <xdr:from>
      <xdr:col>6</xdr:col>
      <xdr:colOff>1323975</xdr:colOff>
      <xdr:row>203</xdr:row>
      <xdr:rowOff>47625</xdr:rowOff>
    </xdr:from>
    <xdr:to>
      <xdr:col>9</xdr:col>
      <xdr:colOff>114300</xdr:colOff>
      <xdr:row>204</xdr:row>
      <xdr:rowOff>28575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610350" y="38138100"/>
          <a:ext cx="2085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Sélection Analogique ou Digital</a:t>
          </a:r>
        </a:p>
      </xdr:txBody>
    </xdr:sp>
    <xdr:clientData/>
  </xdr:twoCellAnchor>
  <xdr:twoCellAnchor>
    <xdr:from>
      <xdr:col>6</xdr:col>
      <xdr:colOff>1076325</xdr:colOff>
      <xdr:row>203</xdr:row>
      <xdr:rowOff>95250</xdr:rowOff>
    </xdr:from>
    <xdr:to>
      <xdr:col>6</xdr:col>
      <xdr:colOff>1076325</xdr:colOff>
      <xdr:row>207</xdr:row>
      <xdr:rowOff>9525</xdr:rowOff>
    </xdr:to>
    <xdr:sp>
      <xdr:nvSpPr>
        <xdr:cNvPr id="48" name="Line 48"/>
        <xdr:cNvSpPr>
          <a:spLocks/>
        </xdr:cNvSpPr>
      </xdr:nvSpPr>
      <xdr:spPr>
        <a:xfrm>
          <a:off x="6362700" y="3818572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1362075</xdr:colOff>
      <xdr:row>204</xdr:row>
      <xdr:rowOff>57150</xdr:rowOff>
    </xdr:from>
    <xdr:to>
      <xdr:col>9</xdr:col>
      <xdr:colOff>66675</xdr:colOff>
      <xdr:row>206</xdr:row>
      <xdr:rowOff>161925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6648450" y="38347650"/>
          <a:ext cx="20002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TRISIO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doit etre en concordance
pour permettre le contrôle de tension </a:t>
          </a:r>
        </a:p>
      </xdr:txBody>
    </xdr:sp>
    <xdr:clientData/>
  </xdr:twoCellAnchor>
  <xdr:twoCellAnchor>
    <xdr:from>
      <xdr:col>6</xdr:col>
      <xdr:colOff>952500</xdr:colOff>
      <xdr:row>170</xdr:row>
      <xdr:rowOff>9525</xdr:rowOff>
    </xdr:from>
    <xdr:to>
      <xdr:col>6</xdr:col>
      <xdr:colOff>1495425</xdr:colOff>
      <xdr:row>170</xdr:row>
      <xdr:rowOff>9525</xdr:rowOff>
    </xdr:to>
    <xdr:sp>
      <xdr:nvSpPr>
        <xdr:cNvPr id="50" name="Line 50"/>
        <xdr:cNvSpPr>
          <a:spLocks/>
        </xdr:cNvSpPr>
      </xdr:nvSpPr>
      <xdr:spPr>
        <a:xfrm>
          <a:off x="6238875" y="318897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11</xdr:row>
      <xdr:rowOff>9525</xdr:rowOff>
    </xdr:from>
    <xdr:to>
      <xdr:col>2</xdr:col>
      <xdr:colOff>428625</xdr:colOff>
      <xdr:row>21</xdr:row>
      <xdr:rowOff>152400</xdr:rowOff>
    </xdr:to>
    <xdr:sp>
      <xdr:nvSpPr>
        <xdr:cNvPr id="51" name="Line 51"/>
        <xdr:cNvSpPr>
          <a:spLocks/>
        </xdr:cNvSpPr>
      </xdr:nvSpPr>
      <xdr:spPr>
        <a:xfrm flipH="1">
          <a:off x="1876425" y="2419350"/>
          <a:ext cx="733425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7</xdr:row>
      <xdr:rowOff>9525</xdr:rowOff>
    </xdr:from>
    <xdr:to>
      <xdr:col>2</xdr:col>
      <xdr:colOff>466725</xdr:colOff>
      <xdr:row>14</xdr:row>
      <xdr:rowOff>19050</xdr:rowOff>
    </xdr:to>
    <xdr:sp>
      <xdr:nvSpPr>
        <xdr:cNvPr id="52" name="Line 52"/>
        <xdr:cNvSpPr>
          <a:spLocks/>
        </xdr:cNvSpPr>
      </xdr:nvSpPr>
      <xdr:spPr>
        <a:xfrm>
          <a:off x="2647950" y="1771650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4</xdr:row>
      <xdr:rowOff>219075</xdr:rowOff>
    </xdr:from>
    <xdr:to>
      <xdr:col>6</xdr:col>
      <xdr:colOff>142875</xdr:colOff>
      <xdr:row>6</xdr:row>
      <xdr:rowOff>142875</xdr:rowOff>
    </xdr:to>
    <xdr:sp>
      <xdr:nvSpPr>
        <xdr:cNvPr id="53" name="Line 53"/>
        <xdr:cNvSpPr>
          <a:spLocks/>
        </xdr:cNvSpPr>
      </xdr:nvSpPr>
      <xdr:spPr>
        <a:xfrm>
          <a:off x="5429250" y="1419225"/>
          <a:ext cx="0" cy="314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14</xdr:row>
      <xdr:rowOff>38100</xdr:rowOff>
    </xdr:from>
    <xdr:to>
      <xdr:col>4</xdr:col>
      <xdr:colOff>1209675</xdr:colOff>
      <xdr:row>18</xdr:row>
      <xdr:rowOff>123825</xdr:rowOff>
    </xdr:to>
    <xdr:sp>
      <xdr:nvSpPr>
        <xdr:cNvPr id="54" name="Line 55"/>
        <xdr:cNvSpPr>
          <a:spLocks/>
        </xdr:cNvSpPr>
      </xdr:nvSpPr>
      <xdr:spPr>
        <a:xfrm>
          <a:off x="3457575" y="2943225"/>
          <a:ext cx="11715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46</xdr:row>
      <xdr:rowOff>190500</xdr:rowOff>
    </xdr:from>
    <xdr:to>
      <xdr:col>12</xdr:col>
      <xdr:colOff>857250</xdr:colOff>
      <xdr:row>49</xdr:row>
      <xdr:rowOff>171450</xdr:rowOff>
    </xdr:to>
    <xdr:sp>
      <xdr:nvSpPr>
        <xdr:cNvPr id="55" name="TextBox 85"/>
        <xdr:cNvSpPr txBox="1">
          <a:spLocks noChangeArrowheads="1"/>
        </xdr:cNvSpPr>
      </xdr:nvSpPr>
      <xdr:spPr>
        <a:xfrm>
          <a:off x="7839075" y="8943975"/>
          <a:ext cx="25146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(de préference  rélié au 5V et configuré en MCLRE_ON , permet de faire un reset par un poussoir mis à la masse )</a:t>
          </a:r>
        </a:p>
      </xdr:txBody>
    </xdr:sp>
    <xdr:clientData/>
  </xdr:twoCellAnchor>
  <xdr:twoCellAnchor>
    <xdr:from>
      <xdr:col>7</xdr:col>
      <xdr:colOff>133350</xdr:colOff>
      <xdr:row>48</xdr:row>
      <xdr:rowOff>123825</xdr:rowOff>
    </xdr:from>
    <xdr:to>
      <xdr:col>7</xdr:col>
      <xdr:colOff>866775</xdr:colOff>
      <xdr:row>48</xdr:row>
      <xdr:rowOff>123825</xdr:rowOff>
    </xdr:to>
    <xdr:sp>
      <xdr:nvSpPr>
        <xdr:cNvPr id="56" name="Line 86"/>
        <xdr:cNvSpPr>
          <a:spLocks/>
        </xdr:cNvSpPr>
      </xdr:nvSpPr>
      <xdr:spPr>
        <a:xfrm flipH="1">
          <a:off x="7048500" y="92773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0</xdr:rowOff>
    </xdr:from>
    <xdr:to>
      <xdr:col>1</xdr:col>
      <xdr:colOff>28575</xdr:colOff>
      <xdr:row>19</xdr:row>
      <xdr:rowOff>47625</xdr:rowOff>
    </xdr:to>
    <xdr:sp>
      <xdr:nvSpPr>
        <xdr:cNvPr id="57" name="TextBox 87"/>
        <xdr:cNvSpPr txBox="1">
          <a:spLocks noChangeArrowheads="1"/>
        </xdr:cNvSpPr>
      </xdr:nvSpPr>
      <xdr:spPr>
        <a:xfrm>
          <a:off x="47625" y="3067050"/>
          <a:ext cx="13716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registre non accessible par programmation</a:t>
          </a:r>
        </a:p>
      </xdr:txBody>
    </xdr:sp>
    <xdr:clientData/>
  </xdr:twoCellAnchor>
  <xdr:twoCellAnchor>
    <xdr:from>
      <xdr:col>4</xdr:col>
      <xdr:colOff>47625</xdr:colOff>
      <xdr:row>31</xdr:row>
      <xdr:rowOff>38100</xdr:rowOff>
    </xdr:from>
    <xdr:to>
      <xdr:col>4</xdr:col>
      <xdr:colOff>466725</xdr:colOff>
      <xdr:row>31</xdr:row>
      <xdr:rowOff>38100</xdr:rowOff>
    </xdr:to>
    <xdr:sp>
      <xdr:nvSpPr>
        <xdr:cNvPr id="58" name="Line 88"/>
        <xdr:cNvSpPr>
          <a:spLocks/>
        </xdr:cNvSpPr>
      </xdr:nvSpPr>
      <xdr:spPr>
        <a:xfrm>
          <a:off x="3467100" y="5876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0"/>
          <a:ext cx="1619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registre non accessible par programmation</a:t>
          </a:r>
        </a:p>
      </xdr:txBody>
    </xdr:sp>
    <xdr:clientData/>
  </xdr:twoCellAnchor>
  <xdr:twoCellAnchor>
    <xdr:from>
      <xdr:col>4</xdr:col>
      <xdr:colOff>647700</xdr:colOff>
      <xdr:row>16</xdr:row>
      <xdr:rowOff>104775</xdr:rowOff>
    </xdr:from>
    <xdr:to>
      <xdr:col>5</xdr:col>
      <xdr:colOff>371475</xdr:colOff>
      <xdr:row>19</xdr:row>
      <xdr:rowOff>95250</xdr:rowOff>
    </xdr:to>
    <xdr:sp>
      <xdr:nvSpPr>
        <xdr:cNvPr id="2" name="Line 2"/>
        <xdr:cNvSpPr>
          <a:spLocks/>
        </xdr:cNvSpPr>
      </xdr:nvSpPr>
      <xdr:spPr>
        <a:xfrm>
          <a:off x="4238625" y="2828925"/>
          <a:ext cx="4953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19050</xdr:rowOff>
    </xdr:from>
    <xdr:to>
      <xdr:col>5</xdr:col>
      <xdr:colOff>200025</xdr:colOff>
      <xdr:row>9</xdr:row>
      <xdr:rowOff>57150</xdr:rowOff>
    </xdr:to>
    <xdr:sp>
      <xdr:nvSpPr>
        <xdr:cNvPr id="3" name="Line 3"/>
        <xdr:cNvSpPr>
          <a:spLocks/>
        </xdr:cNvSpPr>
      </xdr:nvSpPr>
      <xdr:spPr>
        <a:xfrm flipH="1">
          <a:off x="4171950" y="1438275"/>
          <a:ext cx="390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4</xdr:row>
      <xdr:rowOff>0</xdr:rowOff>
    </xdr:from>
    <xdr:to>
      <xdr:col>4</xdr:col>
      <xdr:colOff>209550</xdr:colOff>
      <xdr:row>8</xdr:row>
      <xdr:rowOff>38100</xdr:rowOff>
    </xdr:to>
    <xdr:sp>
      <xdr:nvSpPr>
        <xdr:cNvPr id="4" name="Line 4"/>
        <xdr:cNvSpPr>
          <a:spLocks/>
        </xdr:cNvSpPr>
      </xdr:nvSpPr>
      <xdr:spPr>
        <a:xfrm>
          <a:off x="3800475" y="714375"/>
          <a:ext cx="0" cy="7429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19</xdr:row>
      <xdr:rowOff>19050</xdr:rowOff>
    </xdr:from>
    <xdr:to>
      <xdr:col>2</xdr:col>
      <xdr:colOff>419100</xdr:colOff>
      <xdr:row>23</xdr:row>
      <xdr:rowOff>104775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09550" y="3343275"/>
          <a:ext cx="23336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registre non accessible par programmation</a:t>
          </a:r>
        </a:p>
      </xdr:txBody>
    </xdr:sp>
    <xdr:clientData/>
  </xdr:twoCellAnchor>
  <xdr:twoCellAnchor>
    <xdr:from>
      <xdr:col>6</xdr:col>
      <xdr:colOff>171450</xdr:colOff>
      <xdr:row>39</xdr:row>
      <xdr:rowOff>38100</xdr:rowOff>
    </xdr:from>
    <xdr:to>
      <xdr:col>6</xdr:col>
      <xdr:colOff>171450</xdr:colOff>
      <xdr:row>41</xdr:row>
      <xdr:rowOff>171450</xdr:rowOff>
    </xdr:to>
    <xdr:sp>
      <xdr:nvSpPr>
        <xdr:cNvPr id="6" name="Line 7"/>
        <xdr:cNvSpPr>
          <a:spLocks/>
        </xdr:cNvSpPr>
      </xdr:nvSpPr>
      <xdr:spPr>
        <a:xfrm>
          <a:off x="5629275" y="69437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34</xdr:row>
      <xdr:rowOff>47625</xdr:rowOff>
    </xdr:from>
    <xdr:to>
      <xdr:col>4</xdr:col>
      <xdr:colOff>466725</xdr:colOff>
      <xdr:row>34</xdr:row>
      <xdr:rowOff>47625</xdr:rowOff>
    </xdr:to>
    <xdr:sp>
      <xdr:nvSpPr>
        <xdr:cNvPr id="7" name="Line 12"/>
        <xdr:cNvSpPr>
          <a:spLocks/>
        </xdr:cNvSpPr>
      </xdr:nvSpPr>
      <xdr:spPr>
        <a:xfrm>
          <a:off x="3648075" y="5953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98</xdr:row>
      <xdr:rowOff>38100</xdr:rowOff>
    </xdr:from>
    <xdr:to>
      <xdr:col>6</xdr:col>
      <xdr:colOff>114300</xdr:colOff>
      <xdr:row>100</xdr:row>
      <xdr:rowOff>142875</xdr:rowOff>
    </xdr:to>
    <xdr:sp>
      <xdr:nvSpPr>
        <xdr:cNvPr id="8" name="Line 18"/>
        <xdr:cNvSpPr>
          <a:spLocks/>
        </xdr:cNvSpPr>
      </xdr:nvSpPr>
      <xdr:spPr>
        <a:xfrm>
          <a:off x="5572125" y="180975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116</xdr:row>
      <xdr:rowOff>123825</xdr:rowOff>
    </xdr:from>
    <xdr:to>
      <xdr:col>6</xdr:col>
      <xdr:colOff>1676400</xdr:colOff>
      <xdr:row>119</xdr:row>
      <xdr:rowOff>47625</xdr:rowOff>
    </xdr:to>
    <xdr:sp>
      <xdr:nvSpPr>
        <xdr:cNvPr id="9" name="TextBox 50"/>
        <xdr:cNvSpPr txBox="1">
          <a:spLocks noChangeArrowheads="1"/>
        </xdr:cNvSpPr>
      </xdr:nvSpPr>
      <xdr:spPr>
        <a:xfrm>
          <a:off x="6353175" y="21507450"/>
          <a:ext cx="7810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Choix de  la tension de référence 
   </a:t>
          </a:r>
        </a:p>
      </xdr:txBody>
    </xdr:sp>
    <xdr:clientData/>
  </xdr:twoCellAnchor>
  <xdr:twoCellAnchor>
    <xdr:from>
      <xdr:col>6</xdr:col>
      <xdr:colOff>133350</xdr:colOff>
      <xdr:row>116</xdr:row>
      <xdr:rowOff>28575</xdr:rowOff>
    </xdr:from>
    <xdr:to>
      <xdr:col>6</xdr:col>
      <xdr:colOff>133350</xdr:colOff>
      <xdr:row>119</xdr:row>
      <xdr:rowOff>171450</xdr:rowOff>
    </xdr:to>
    <xdr:sp>
      <xdr:nvSpPr>
        <xdr:cNvPr id="10" name="Line 51"/>
        <xdr:cNvSpPr>
          <a:spLocks/>
        </xdr:cNvSpPr>
      </xdr:nvSpPr>
      <xdr:spPr>
        <a:xfrm>
          <a:off x="5591175" y="214122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99</xdr:row>
      <xdr:rowOff>76200</xdr:rowOff>
    </xdr:from>
    <xdr:to>
      <xdr:col>6</xdr:col>
      <xdr:colOff>2133600</xdr:colOff>
      <xdr:row>99</xdr:row>
      <xdr:rowOff>76200</xdr:rowOff>
    </xdr:to>
    <xdr:sp>
      <xdr:nvSpPr>
        <xdr:cNvPr id="11" name="Line 54"/>
        <xdr:cNvSpPr>
          <a:spLocks/>
        </xdr:cNvSpPr>
      </xdr:nvSpPr>
      <xdr:spPr>
        <a:xfrm>
          <a:off x="5753100" y="183356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91</xdr:row>
      <xdr:rowOff>47625</xdr:rowOff>
    </xdr:from>
    <xdr:to>
      <xdr:col>1</xdr:col>
      <xdr:colOff>295275</xdr:colOff>
      <xdr:row>96</xdr:row>
      <xdr:rowOff>171450</xdr:rowOff>
    </xdr:to>
    <xdr:sp>
      <xdr:nvSpPr>
        <xdr:cNvPr id="12" name="Line 168"/>
        <xdr:cNvSpPr>
          <a:spLocks/>
        </xdr:cNvSpPr>
      </xdr:nvSpPr>
      <xdr:spPr>
        <a:xfrm>
          <a:off x="1304925" y="167735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91</xdr:row>
      <xdr:rowOff>57150</xdr:rowOff>
    </xdr:from>
    <xdr:to>
      <xdr:col>1</xdr:col>
      <xdr:colOff>933450</xdr:colOff>
      <xdr:row>94</xdr:row>
      <xdr:rowOff>57150</xdr:rowOff>
    </xdr:to>
    <xdr:sp>
      <xdr:nvSpPr>
        <xdr:cNvPr id="13" name="Line 169"/>
        <xdr:cNvSpPr>
          <a:spLocks/>
        </xdr:cNvSpPr>
      </xdr:nvSpPr>
      <xdr:spPr>
        <a:xfrm>
          <a:off x="1314450" y="16783050"/>
          <a:ext cx="628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94</xdr:row>
      <xdr:rowOff>66675</xdr:rowOff>
    </xdr:from>
    <xdr:to>
      <xdr:col>1</xdr:col>
      <xdr:colOff>952500</xdr:colOff>
      <xdr:row>96</xdr:row>
      <xdr:rowOff>180975</xdr:rowOff>
    </xdr:to>
    <xdr:sp>
      <xdr:nvSpPr>
        <xdr:cNvPr id="14" name="Line 170"/>
        <xdr:cNvSpPr>
          <a:spLocks/>
        </xdr:cNvSpPr>
      </xdr:nvSpPr>
      <xdr:spPr>
        <a:xfrm flipV="1">
          <a:off x="1304925" y="17325975"/>
          <a:ext cx="6572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92</xdr:row>
      <xdr:rowOff>66675</xdr:rowOff>
    </xdr:from>
    <xdr:to>
      <xdr:col>1</xdr:col>
      <xdr:colOff>304800</xdr:colOff>
      <xdr:row>92</xdr:row>
      <xdr:rowOff>66675</xdr:rowOff>
    </xdr:to>
    <xdr:sp>
      <xdr:nvSpPr>
        <xdr:cNvPr id="15" name="Line 171"/>
        <xdr:cNvSpPr>
          <a:spLocks/>
        </xdr:cNvSpPr>
      </xdr:nvSpPr>
      <xdr:spPr>
        <a:xfrm>
          <a:off x="1143000" y="16954500"/>
          <a:ext cx="1714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96</xdr:row>
      <xdr:rowOff>19050</xdr:rowOff>
    </xdr:from>
    <xdr:to>
      <xdr:col>1</xdr:col>
      <xdr:colOff>295275</xdr:colOff>
      <xdr:row>96</xdr:row>
      <xdr:rowOff>19050</xdr:rowOff>
    </xdr:to>
    <xdr:sp>
      <xdr:nvSpPr>
        <xdr:cNvPr id="16" name="Line 172"/>
        <xdr:cNvSpPr>
          <a:spLocks/>
        </xdr:cNvSpPr>
      </xdr:nvSpPr>
      <xdr:spPr>
        <a:xfrm>
          <a:off x="1181100" y="1767840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91</xdr:row>
      <xdr:rowOff>95250</xdr:rowOff>
    </xdr:from>
    <xdr:to>
      <xdr:col>1</xdr:col>
      <xdr:colOff>714375</xdr:colOff>
      <xdr:row>92</xdr:row>
      <xdr:rowOff>104775</xdr:rowOff>
    </xdr:to>
    <xdr:sp>
      <xdr:nvSpPr>
        <xdr:cNvPr id="17" name="TextBox 173"/>
        <xdr:cNvSpPr txBox="1">
          <a:spLocks noChangeArrowheads="1"/>
        </xdr:cNvSpPr>
      </xdr:nvSpPr>
      <xdr:spPr>
        <a:xfrm>
          <a:off x="1323975" y="168211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Vin-</a:t>
          </a:r>
        </a:p>
      </xdr:txBody>
    </xdr:sp>
    <xdr:clientData/>
  </xdr:twoCellAnchor>
  <xdr:twoCellAnchor>
    <xdr:from>
      <xdr:col>1</xdr:col>
      <xdr:colOff>295275</xdr:colOff>
      <xdr:row>95</xdr:row>
      <xdr:rowOff>133350</xdr:rowOff>
    </xdr:from>
    <xdr:to>
      <xdr:col>1</xdr:col>
      <xdr:colOff>771525</xdr:colOff>
      <xdr:row>96</xdr:row>
      <xdr:rowOff>114300</xdr:rowOff>
    </xdr:to>
    <xdr:sp>
      <xdr:nvSpPr>
        <xdr:cNvPr id="18" name="TextBox 174"/>
        <xdr:cNvSpPr txBox="1">
          <a:spLocks noChangeArrowheads="1"/>
        </xdr:cNvSpPr>
      </xdr:nvSpPr>
      <xdr:spPr>
        <a:xfrm>
          <a:off x="1304925" y="17592675"/>
          <a:ext cx="4762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Vin+</a:t>
          </a:r>
        </a:p>
      </xdr:txBody>
    </xdr:sp>
    <xdr:clientData/>
  </xdr:twoCellAnchor>
  <xdr:twoCellAnchor>
    <xdr:from>
      <xdr:col>1</xdr:col>
      <xdr:colOff>962025</xdr:colOff>
      <xdr:row>94</xdr:row>
      <xdr:rowOff>57150</xdr:rowOff>
    </xdr:from>
    <xdr:to>
      <xdr:col>2</xdr:col>
      <xdr:colOff>19050</xdr:colOff>
      <xdr:row>94</xdr:row>
      <xdr:rowOff>57150</xdr:rowOff>
    </xdr:to>
    <xdr:sp>
      <xdr:nvSpPr>
        <xdr:cNvPr id="19" name="Line 175"/>
        <xdr:cNvSpPr>
          <a:spLocks/>
        </xdr:cNvSpPr>
      </xdr:nvSpPr>
      <xdr:spPr>
        <a:xfrm>
          <a:off x="1971675" y="17316450"/>
          <a:ext cx="1714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92</xdr:row>
      <xdr:rowOff>47625</xdr:rowOff>
    </xdr:from>
    <xdr:to>
      <xdr:col>0</xdr:col>
      <xdr:colOff>857250</xdr:colOff>
      <xdr:row>92</xdr:row>
      <xdr:rowOff>47625</xdr:rowOff>
    </xdr:to>
    <xdr:sp>
      <xdr:nvSpPr>
        <xdr:cNvPr id="20" name="Line 176"/>
        <xdr:cNvSpPr>
          <a:spLocks/>
        </xdr:cNvSpPr>
      </xdr:nvSpPr>
      <xdr:spPr>
        <a:xfrm>
          <a:off x="695325" y="16935450"/>
          <a:ext cx="161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96</xdr:row>
      <xdr:rowOff>9525</xdr:rowOff>
    </xdr:from>
    <xdr:to>
      <xdr:col>0</xdr:col>
      <xdr:colOff>876300</xdr:colOff>
      <xdr:row>96</xdr:row>
      <xdr:rowOff>9525</xdr:rowOff>
    </xdr:to>
    <xdr:sp>
      <xdr:nvSpPr>
        <xdr:cNvPr id="21" name="Line 177"/>
        <xdr:cNvSpPr>
          <a:spLocks/>
        </xdr:cNvSpPr>
      </xdr:nvSpPr>
      <xdr:spPr>
        <a:xfrm>
          <a:off x="714375" y="17668875"/>
          <a:ext cx="161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962025</xdr:colOff>
      <xdr:row>93</xdr:row>
      <xdr:rowOff>0</xdr:rowOff>
    </xdr:from>
    <xdr:to>
      <xdr:col>2</xdr:col>
      <xdr:colOff>342900</xdr:colOff>
      <xdr:row>93</xdr:row>
      <xdr:rowOff>171450</xdr:rowOff>
    </xdr:to>
    <xdr:sp>
      <xdr:nvSpPr>
        <xdr:cNvPr id="22" name="TextBox 179"/>
        <xdr:cNvSpPr txBox="1">
          <a:spLocks noChangeArrowheads="1"/>
        </xdr:cNvSpPr>
      </xdr:nvSpPr>
      <xdr:spPr>
        <a:xfrm>
          <a:off x="1971675" y="17059275"/>
          <a:ext cx="495300" cy="171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out COUT</a:t>
          </a:r>
        </a:p>
      </xdr:txBody>
    </xdr:sp>
    <xdr:clientData/>
  </xdr:twoCellAnchor>
  <xdr:twoCellAnchor>
    <xdr:from>
      <xdr:col>0</xdr:col>
      <xdr:colOff>152400</xdr:colOff>
      <xdr:row>95</xdr:row>
      <xdr:rowOff>123825</xdr:rowOff>
    </xdr:from>
    <xdr:to>
      <xdr:col>0</xdr:col>
      <xdr:colOff>704850</xdr:colOff>
      <xdr:row>96</xdr:row>
      <xdr:rowOff>76200</xdr:rowOff>
    </xdr:to>
    <xdr:sp>
      <xdr:nvSpPr>
        <xdr:cNvPr id="23" name="TextBox 181"/>
        <xdr:cNvSpPr txBox="1">
          <a:spLocks noChangeArrowheads="1"/>
        </xdr:cNvSpPr>
      </xdr:nvSpPr>
      <xdr:spPr>
        <a:xfrm>
          <a:off x="152400" y="17583150"/>
          <a:ext cx="552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RA3</a:t>
          </a:r>
        </a:p>
      </xdr:txBody>
    </xdr:sp>
    <xdr:clientData/>
  </xdr:twoCellAnchor>
  <xdr:twoCellAnchor>
    <xdr:from>
      <xdr:col>0</xdr:col>
      <xdr:colOff>171450</xdr:colOff>
      <xdr:row>91</xdr:row>
      <xdr:rowOff>133350</xdr:rowOff>
    </xdr:from>
    <xdr:to>
      <xdr:col>0</xdr:col>
      <xdr:colOff>695325</xdr:colOff>
      <xdr:row>92</xdr:row>
      <xdr:rowOff>123825</xdr:rowOff>
    </xdr:to>
    <xdr:sp>
      <xdr:nvSpPr>
        <xdr:cNvPr id="24" name="TextBox 182"/>
        <xdr:cNvSpPr txBox="1">
          <a:spLocks noChangeArrowheads="1"/>
        </xdr:cNvSpPr>
      </xdr:nvSpPr>
      <xdr:spPr>
        <a:xfrm>
          <a:off x="171450" y="16859250"/>
          <a:ext cx="523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RA0</a:t>
          </a:r>
        </a:p>
      </xdr:txBody>
    </xdr:sp>
    <xdr:clientData/>
  </xdr:twoCellAnchor>
  <xdr:twoCellAnchor>
    <xdr:from>
      <xdr:col>0</xdr:col>
      <xdr:colOff>238125</xdr:colOff>
      <xdr:row>88</xdr:row>
      <xdr:rowOff>142875</xdr:rowOff>
    </xdr:from>
    <xdr:to>
      <xdr:col>0</xdr:col>
      <xdr:colOff>714375</xdr:colOff>
      <xdr:row>90</xdr:row>
      <xdr:rowOff>66675</xdr:rowOff>
    </xdr:to>
    <xdr:sp>
      <xdr:nvSpPr>
        <xdr:cNvPr id="25" name="TextBox 183"/>
        <xdr:cNvSpPr txBox="1">
          <a:spLocks noChangeArrowheads="1"/>
        </xdr:cNvSpPr>
      </xdr:nvSpPr>
      <xdr:spPr>
        <a:xfrm>
          <a:off x="238125" y="16383000"/>
          <a:ext cx="4762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Externe </a:t>
          </a:r>
        </a:p>
      </xdr:txBody>
    </xdr:sp>
    <xdr:clientData/>
  </xdr:twoCellAnchor>
  <xdr:twoCellAnchor>
    <xdr:from>
      <xdr:col>1</xdr:col>
      <xdr:colOff>219075</xdr:colOff>
      <xdr:row>89</xdr:row>
      <xdr:rowOff>19050</xdr:rowOff>
    </xdr:from>
    <xdr:to>
      <xdr:col>1</xdr:col>
      <xdr:colOff>657225</xdr:colOff>
      <xdr:row>90</xdr:row>
      <xdr:rowOff>76200</xdr:rowOff>
    </xdr:to>
    <xdr:sp>
      <xdr:nvSpPr>
        <xdr:cNvPr id="26" name="TextBox 184"/>
        <xdr:cNvSpPr txBox="1">
          <a:spLocks noChangeArrowheads="1"/>
        </xdr:cNvSpPr>
      </xdr:nvSpPr>
      <xdr:spPr>
        <a:xfrm>
          <a:off x="1228725" y="16421100"/>
          <a:ext cx="4381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Interne </a:t>
          </a:r>
        </a:p>
      </xdr:txBody>
    </xdr:sp>
    <xdr:clientData/>
  </xdr:twoCellAnchor>
  <xdr:twoCellAnchor>
    <xdr:from>
      <xdr:col>0</xdr:col>
      <xdr:colOff>914400</xdr:colOff>
      <xdr:row>90</xdr:row>
      <xdr:rowOff>9525</xdr:rowOff>
    </xdr:from>
    <xdr:to>
      <xdr:col>1</xdr:col>
      <xdr:colOff>161925</xdr:colOff>
      <xdr:row>97</xdr:row>
      <xdr:rowOff>9525</xdr:rowOff>
    </xdr:to>
    <xdr:sp>
      <xdr:nvSpPr>
        <xdr:cNvPr id="27" name="TextBox 185"/>
        <xdr:cNvSpPr txBox="1">
          <a:spLocks noChangeArrowheads="1"/>
        </xdr:cNvSpPr>
      </xdr:nvSpPr>
      <xdr:spPr>
        <a:xfrm>
          <a:off x="914400" y="16573500"/>
          <a:ext cx="25717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CIS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0
1</a:t>
          </a:r>
        </a:p>
      </xdr:txBody>
    </xdr:sp>
    <xdr:clientData/>
  </xdr:twoCellAnchor>
  <xdr:twoCellAnchor>
    <xdr:from>
      <xdr:col>1</xdr:col>
      <xdr:colOff>314325</xdr:colOff>
      <xdr:row>99</xdr:row>
      <xdr:rowOff>190500</xdr:rowOff>
    </xdr:from>
    <xdr:to>
      <xdr:col>1</xdr:col>
      <xdr:colOff>314325</xdr:colOff>
      <xdr:row>105</xdr:row>
      <xdr:rowOff>171450</xdr:rowOff>
    </xdr:to>
    <xdr:sp>
      <xdr:nvSpPr>
        <xdr:cNvPr id="28" name="Line 187"/>
        <xdr:cNvSpPr>
          <a:spLocks/>
        </xdr:cNvSpPr>
      </xdr:nvSpPr>
      <xdr:spPr>
        <a:xfrm>
          <a:off x="1323975" y="18449925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100</xdr:row>
      <xdr:rowOff>0</xdr:rowOff>
    </xdr:from>
    <xdr:to>
      <xdr:col>1</xdr:col>
      <xdr:colOff>952500</xdr:colOff>
      <xdr:row>102</xdr:row>
      <xdr:rowOff>152400</xdr:rowOff>
    </xdr:to>
    <xdr:sp>
      <xdr:nvSpPr>
        <xdr:cNvPr id="29" name="Line 188"/>
        <xdr:cNvSpPr>
          <a:spLocks/>
        </xdr:cNvSpPr>
      </xdr:nvSpPr>
      <xdr:spPr>
        <a:xfrm>
          <a:off x="1333500" y="18459450"/>
          <a:ext cx="6286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103</xdr:row>
      <xdr:rowOff>0</xdr:rowOff>
    </xdr:from>
    <xdr:to>
      <xdr:col>1</xdr:col>
      <xdr:colOff>971550</xdr:colOff>
      <xdr:row>105</xdr:row>
      <xdr:rowOff>171450</xdr:rowOff>
    </xdr:to>
    <xdr:sp>
      <xdr:nvSpPr>
        <xdr:cNvPr id="30" name="Line 189"/>
        <xdr:cNvSpPr>
          <a:spLocks/>
        </xdr:cNvSpPr>
      </xdr:nvSpPr>
      <xdr:spPr>
        <a:xfrm flipV="1">
          <a:off x="1323975" y="18992850"/>
          <a:ext cx="6572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100</xdr:row>
      <xdr:rowOff>171450</xdr:rowOff>
    </xdr:from>
    <xdr:to>
      <xdr:col>1</xdr:col>
      <xdr:colOff>323850</xdr:colOff>
      <xdr:row>100</xdr:row>
      <xdr:rowOff>171450</xdr:rowOff>
    </xdr:to>
    <xdr:sp>
      <xdr:nvSpPr>
        <xdr:cNvPr id="31" name="Line 190"/>
        <xdr:cNvSpPr>
          <a:spLocks/>
        </xdr:cNvSpPr>
      </xdr:nvSpPr>
      <xdr:spPr>
        <a:xfrm>
          <a:off x="1162050" y="18630900"/>
          <a:ext cx="1714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106</xdr:row>
      <xdr:rowOff>19050</xdr:rowOff>
    </xdr:from>
    <xdr:to>
      <xdr:col>1</xdr:col>
      <xdr:colOff>314325</xdr:colOff>
      <xdr:row>106</xdr:row>
      <xdr:rowOff>19050</xdr:rowOff>
    </xdr:to>
    <xdr:sp>
      <xdr:nvSpPr>
        <xdr:cNvPr id="32" name="Line 191"/>
        <xdr:cNvSpPr>
          <a:spLocks/>
        </xdr:cNvSpPr>
      </xdr:nvSpPr>
      <xdr:spPr>
        <a:xfrm>
          <a:off x="1200150" y="1950720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100</xdr:row>
      <xdr:rowOff>38100</xdr:rowOff>
    </xdr:from>
    <xdr:to>
      <xdr:col>1</xdr:col>
      <xdr:colOff>676275</xdr:colOff>
      <xdr:row>101</xdr:row>
      <xdr:rowOff>9525</xdr:rowOff>
    </xdr:to>
    <xdr:sp>
      <xdr:nvSpPr>
        <xdr:cNvPr id="33" name="TextBox 192"/>
        <xdr:cNvSpPr txBox="1">
          <a:spLocks noChangeArrowheads="1"/>
        </xdr:cNvSpPr>
      </xdr:nvSpPr>
      <xdr:spPr>
        <a:xfrm>
          <a:off x="1343025" y="18497550"/>
          <a:ext cx="3429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Vin-</a:t>
          </a:r>
        </a:p>
      </xdr:txBody>
    </xdr:sp>
    <xdr:clientData/>
  </xdr:twoCellAnchor>
  <xdr:twoCellAnchor>
    <xdr:from>
      <xdr:col>1</xdr:col>
      <xdr:colOff>314325</xdr:colOff>
      <xdr:row>105</xdr:row>
      <xdr:rowOff>104775</xdr:rowOff>
    </xdr:from>
    <xdr:to>
      <xdr:col>1</xdr:col>
      <xdr:colOff>714375</xdr:colOff>
      <xdr:row>106</xdr:row>
      <xdr:rowOff>114300</xdr:rowOff>
    </xdr:to>
    <xdr:sp>
      <xdr:nvSpPr>
        <xdr:cNvPr id="34" name="TextBox 193"/>
        <xdr:cNvSpPr txBox="1">
          <a:spLocks noChangeArrowheads="1"/>
        </xdr:cNvSpPr>
      </xdr:nvSpPr>
      <xdr:spPr>
        <a:xfrm>
          <a:off x="1323975" y="19421475"/>
          <a:ext cx="400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Vin+</a:t>
          </a:r>
        </a:p>
      </xdr:txBody>
    </xdr:sp>
    <xdr:clientData/>
  </xdr:twoCellAnchor>
  <xdr:twoCellAnchor>
    <xdr:from>
      <xdr:col>1</xdr:col>
      <xdr:colOff>981075</xdr:colOff>
      <xdr:row>102</xdr:row>
      <xdr:rowOff>152400</xdr:rowOff>
    </xdr:from>
    <xdr:to>
      <xdr:col>2</xdr:col>
      <xdr:colOff>38100</xdr:colOff>
      <xdr:row>102</xdr:row>
      <xdr:rowOff>152400</xdr:rowOff>
    </xdr:to>
    <xdr:sp>
      <xdr:nvSpPr>
        <xdr:cNvPr id="35" name="Line 194"/>
        <xdr:cNvSpPr>
          <a:spLocks/>
        </xdr:cNvSpPr>
      </xdr:nvSpPr>
      <xdr:spPr>
        <a:xfrm>
          <a:off x="1990725" y="18983325"/>
          <a:ext cx="1714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100</xdr:row>
      <xdr:rowOff>171450</xdr:rowOff>
    </xdr:from>
    <xdr:to>
      <xdr:col>0</xdr:col>
      <xdr:colOff>885825</xdr:colOff>
      <xdr:row>100</xdr:row>
      <xdr:rowOff>171450</xdr:rowOff>
    </xdr:to>
    <xdr:sp>
      <xdr:nvSpPr>
        <xdr:cNvPr id="36" name="Line 196"/>
        <xdr:cNvSpPr>
          <a:spLocks/>
        </xdr:cNvSpPr>
      </xdr:nvSpPr>
      <xdr:spPr>
        <a:xfrm>
          <a:off x="723900" y="18630900"/>
          <a:ext cx="161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105</xdr:row>
      <xdr:rowOff>0</xdr:rowOff>
    </xdr:from>
    <xdr:to>
      <xdr:col>0</xdr:col>
      <xdr:colOff>914400</xdr:colOff>
      <xdr:row>105</xdr:row>
      <xdr:rowOff>0</xdr:rowOff>
    </xdr:to>
    <xdr:sp>
      <xdr:nvSpPr>
        <xdr:cNvPr id="37" name="Line 197"/>
        <xdr:cNvSpPr>
          <a:spLocks/>
        </xdr:cNvSpPr>
      </xdr:nvSpPr>
      <xdr:spPr>
        <a:xfrm>
          <a:off x="752475" y="19316700"/>
          <a:ext cx="161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101</xdr:row>
      <xdr:rowOff>57150</xdr:rowOff>
    </xdr:from>
    <xdr:to>
      <xdr:col>2</xdr:col>
      <xdr:colOff>361950</xdr:colOff>
      <xdr:row>102</xdr:row>
      <xdr:rowOff>66675</xdr:rowOff>
    </xdr:to>
    <xdr:sp>
      <xdr:nvSpPr>
        <xdr:cNvPr id="38" name="TextBox 198"/>
        <xdr:cNvSpPr txBox="1">
          <a:spLocks noChangeArrowheads="1"/>
        </xdr:cNvSpPr>
      </xdr:nvSpPr>
      <xdr:spPr>
        <a:xfrm>
          <a:off x="1990725" y="18726150"/>
          <a:ext cx="495300" cy="1714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out</a:t>
          </a:r>
        </a:p>
      </xdr:txBody>
    </xdr:sp>
    <xdr:clientData/>
  </xdr:twoCellAnchor>
  <xdr:twoCellAnchor>
    <xdr:from>
      <xdr:col>0</xdr:col>
      <xdr:colOff>104775</xdr:colOff>
      <xdr:row>100</xdr:row>
      <xdr:rowOff>57150</xdr:rowOff>
    </xdr:from>
    <xdr:to>
      <xdr:col>0</xdr:col>
      <xdr:colOff>695325</xdr:colOff>
      <xdr:row>101</xdr:row>
      <xdr:rowOff>9525</xdr:rowOff>
    </xdr:to>
    <xdr:sp>
      <xdr:nvSpPr>
        <xdr:cNvPr id="39" name="TextBox 199"/>
        <xdr:cNvSpPr txBox="1">
          <a:spLocks noChangeArrowheads="1"/>
        </xdr:cNvSpPr>
      </xdr:nvSpPr>
      <xdr:spPr>
        <a:xfrm>
          <a:off x="104775" y="18516600"/>
          <a:ext cx="5905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RA1</a:t>
          </a:r>
        </a:p>
      </xdr:txBody>
    </xdr:sp>
    <xdr:clientData/>
  </xdr:twoCellAnchor>
  <xdr:twoCellAnchor>
    <xdr:from>
      <xdr:col>0</xdr:col>
      <xdr:colOff>104775</xdr:colOff>
      <xdr:row>104</xdr:row>
      <xdr:rowOff>104775</xdr:rowOff>
    </xdr:from>
    <xdr:to>
      <xdr:col>0</xdr:col>
      <xdr:colOff>695325</xdr:colOff>
      <xdr:row>105</xdr:row>
      <xdr:rowOff>114300</xdr:rowOff>
    </xdr:to>
    <xdr:sp>
      <xdr:nvSpPr>
        <xdr:cNvPr id="40" name="TextBox 206"/>
        <xdr:cNvSpPr txBox="1">
          <a:spLocks noChangeArrowheads="1"/>
        </xdr:cNvSpPr>
      </xdr:nvSpPr>
      <xdr:spPr>
        <a:xfrm>
          <a:off x="104775" y="19259550"/>
          <a:ext cx="590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RA2</a:t>
          </a:r>
        </a:p>
      </xdr:txBody>
    </xdr:sp>
    <xdr:clientData/>
  </xdr:twoCellAnchor>
  <xdr:twoCellAnchor>
    <xdr:from>
      <xdr:col>1</xdr:col>
      <xdr:colOff>447675</xdr:colOff>
      <xdr:row>93</xdr:row>
      <xdr:rowOff>171450</xdr:rowOff>
    </xdr:from>
    <xdr:to>
      <xdr:col>1</xdr:col>
      <xdr:colOff>676275</xdr:colOff>
      <xdr:row>94</xdr:row>
      <xdr:rowOff>190500</xdr:rowOff>
    </xdr:to>
    <xdr:sp>
      <xdr:nvSpPr>
        <xdr:cNvPr id="41" name="TextBox 210"/>
        <xdr:cNvSpPr txBox="1">
          <a:spLocks noChangeArrowheads="1"/>
        </xdr:cNvSpPr>
      </xdr:nvSpPr>
      <xdr:spPr>
        <a:xfrm>
          <a:off x="1457325" y="17230725"/>
          <a:ext cx="228600" cy="2190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C1</a:t>
          </a:r>
        </a:p>
      </xdr:txBody>
    </xdr:sp>
    <xdr:clientData/>
  </xdr:twoCellAnchor>
  <xdr:twoCellAnchor>
    <xdr:from>
      <xdr:col>1</xdr:col>
      <xdr:colOff>371475</xdr:colOff>
      <xdr:row>102</xdr:row>
      <xdr:rowOff>47625</xdr:rowOff>
    </xdr:from>
    <xdr:to>
      <xdr:col>1</xdr:col>
      <xdr:colOff>600075</xdr:colOff>
      <xdr:row>103</xdr:row>
      <xdr:rowOff>104775</xdr:rowOff>
    </xdr:to>
    <xdr:sp>
      <xdr:nvSpPr>
        <xdr:cNvPr id="42" name="TextBox 211"/>
        <xdr:cNvSpPr txBox="1">
          <a:spLocks noChangeArrowheads="1"/>
        </xdr:cNvSpPr>
      </xdr:nvSpPr>
      <xdr:spPr>
        <a:xfrm>
          <a:off x="1381125" y="18878550"/>
          <a:ext cx="228600" cy="219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C2</a:t>
          </a:r>
        </a:p>
      </xdr:txBody>
    </xdr:sp>
    <xdr:clientData/>
  </xdr:twoCellAnchor>
  <xdr:twoCellAnchor>
    <xdr:from>
      <xdr:col>0</xdr:col>
      <xdr:colOff>904875</xdr:colOff>
      <xdr:row>98</xdr:row>
      <xdr:rowOff>142875</xdr:rowOff>
    </xdr:from>
    <xdr:to>
      <xdr:col>1</xdr:col>
      <xdr:colOff>152400</xdr:colOff>
      <xdr:row>105</xdr:row>
      <xdr:rowOff>152400</xdr:rowOff>
    </xdr:to>
    <xdr:sp>
      <xdr:nvSpPr>
        <xdr:cNvPr id="43" name="TextBox 215"/>
        <xdr:cNvSpPr txBox="1">
          <a:spLocks noChangeArrowheads="1"/>
        </xdr:cNvSpPr>
      </xdr:nvSpPr>
      <xdr:spPr>
        <a:xfrm>
          <a:off x="904875" y="18202275"/>
          <a:ext cx="257175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CIS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0
 1</a:t>
          </a:r>
        </a:p>
      </xdr:txBody>
    </xdr:sp>
    <xdr:clientData/>
  </xdr:twoCellAnchor>
  <xdr:twoCellAnchor>
    <xdr:from>
      <xdr:col>0</xdr:col>
      <xdr:colOff>857250</xdr:colOff>
      <xdr:row>87</xdr:row>
      <xdr:rowOff>38100</xdr:rowOff>
    </xdr:from>
    <xdr:to>
      <xdr:col>0</xdr:col>
      <xdr:colOff>857250</xdr:colOff>
      <xdr:row>105</xdr:row>
      <xdr:rowOff>171450</xdr:rowOff>
    </xdr:to>
    <xdr:sp>
      <xdr:nvSpPr>
        <xdr:cNvPr id="44" name="Line 216"/>
        <xdr:cNvSpPr>
          <a:spLocks/>
        </xdr:cNvSpPr>
      </xdr:nvSpPr>
      <xdr:spPr>
        <a:xfrm>
          <a:off x="857250" y="16116300"/>
          <a:ext cx="0" cy="33718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100</xdr:row>
      <xdr:rowOff>114300</xdr:rowOff>
    </xdr:from>
    <xdr:to>
      <xdr:col>6</xdr:col>
      <xdr:colOff>1762125</xdr:colOff>
      <xdr:row>103</xdr:row>
      <xdr:rowOff>57150</xdr:rowOff>
    </xdr:to>
    <xdr:sp>
      <xdr:nvSpPr>
        <xdr:cNvPr id="45" name="TextBox 217"/>
        <xdr:cNvSpPr txBox="1">
          <a:spLocks noChangeArrowheads="1"/>
        </xdr:cNvSpPr>
      </xdr:nvSpPr>
      <xdr:spPr>
        <a:xfrm>
          <a:off x="6096000" y="18573750"/>
          <a:ext cx="11239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RA3 et RA4 peuvent etre connectés à C out</a:t>
          </a:r>
        </a:p>
      </xdr:txBody>
    </xdr:sp>
    <xdr:clientData/>
  </xdr:twoCellAnchor>
  <xdr:twoCellAnchor>
    <xdr:from>
      <xdr:col>6</xdr:col>
      <xdr:colOff>1790700</xdr:colOff>
      <xdr:row>101</xdr:row>
      <xdr:rowOff>76200</xdr:rowOff>
    </xdr:from>
    <xdr:to>
      <xdr:col>6</xdr:col>
      <xdr:colOff>2219325</xdr:colOff>
      <xdr:row>101</xdr:row>
      <xdr:rowOff>76200</xdr:rowOff>
    </xdr:to>
    <xdr:sp>
      <xdr:nvSpPr>
        <xdr:cNvPr id="46" name="Line 218"/>
        <xdr:cNvSpPr>
          <a:spLocks/>
        </xdr:cNvSpPr>
      </xdr:nvSpPr>
      <xdr:spPr>
        <a:xfrm>
          <a:off x="7248525" y="187452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962025</xdr:colOff>
      <xdr:row>95</xdr:row>
      <xdr:rowOff>190500</xdr:rowOff>
    </xdr:from>
    <xdr:to>
      <xdr:col>2</xdr:col>
      <xdr:colOff>561975</xdr:colOff>
      <xdr:row>99</xdr:row>
      <xdr:rowOff>123825</xdr:rowOff>
    </xdr:to>
    <xdr:sp>
      <xdr:nvSpPr>
        <xdr:cNvPr id="47" name="TextBox 219"/>
        <xdr:cNvSpPr txBox="1">
          <a:spLocks noChangeArrowheads="1"/>
        </xdr:cNvSpPr>
      </xdr:nvSpPr>
      <xdr:spPr>
        <a:xfrm>
          <a:off x="1971675" y="17649825"/>
          <a:ext cx="7143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 =1 si 
Vin+ &gt; Vin-
      et
CINV=0</a:t>
          </a:r>
        </a:p>
      </xdr:txBody>
    </xdr:sp>
    <xdr:clientData/>
  </xdr:twoCellAnchor>
  <xdr:twoCellAnchor>
    <xdr:from>
      <xdr:col>0</xdr:col>
      <xdr:colOff>180975</xdr:colOff>
      <xdr:row>7</xdr:row>
      <xdr:rowOff>142875</xdr:rowOff>
    </xdr:from>
    <xdr:to>
      <xdr:col>2</xdr:col>
      <xdr:colOff>104775</xdr:colOff>
      <xdr:row>15</xdr:row>
      <xdr:rowOff>133350</xdr:rowOff>
    </xdr:to>
    <xdr:sp>
      <xdr:nvSpPr>
        <xdr:cNvPr id="48" name="TextBox 220"/>
        <xdr:cNvSpPr txBox="1">
          <a:spLocks noChangeArrowheads="1"/>
        </xdr:cNvSpPr>
      </xdr:nvSpPr>
      <xdr:spPr>
        <a:xfrm>
          <a:off x="180975" y="1400175"/>
          <a:ext cx="204787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RA5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n'est configurable qu' en entée
(de préférence utiliser cette entrée comme reset (MCLRE_ON).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RA4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en sortie posséde une sortie  drain onvert .(ne pas relier vers la masse).</a:t>
          </a:r>
        </a:p>
      </xdr:txBody>
    </xdr:sp>
    <xdr:clientData/>
  </xdr:twoCellAnchor>
  <xdr:twoCellAnchor>
    <xdr:from>
      <xdr:col>8</xdr:col>
      <xdr:colOff>114300</xdr:colOff>
      <xdr:row>3</xdr:row>
      <xdr:rowOff>9525</xdr:rowOff>
    </xdr:from>
    <xdr:to>
      <xdr:col>9</xdr:col>
      <xdr:colOff>1295400</xdr:colOff>
      <xdr:row>13</xdr:row>
      <xdr:rowOff>152400</xdr:rowOff>
    </xdr:to>
    <xdr:grpSp>
      <xdr:nvGrpSpPr>
        <xdr:cNvPr id="49" name="Group 277"/>
        <xdr:cNvGrpSpPr>
          <a:grpSpLocks/>
        </xdr:cNvGrpSpPr>
      </xdr:nvGrpSpPr>
      <xdr:grpSpPr>
        <a:xfrm>
          <a:off x="9239250" y="561975"/>
          <a:ext cx="1590675" cy="1828800"/>
          <a:chOff x="970" y="59"/>
          <a:chExt cx="167" cy="192"/>
        </a:xfrm>
        <a:solidFill>
          <a:srgbClr val="FFFFFF"/>
        </a:solidFill>
      </xdr:grpSpPr>
      <xdr:sp>
        <xdr:nvSpPr>
          <xdr:cNvPr id="50" name="Rectangle 221"/>
          <xdr:cNvSpPr>
            <a:spLocks/>
          </xdr:cNvSpPr>
        </xdr:nvSpPr>
        <xdr:spPr>
          <a:xfrm>
            <a:off x="1001" y="59"/>
            <a:ext cx="106" cy="1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223"/>
          <xdr:cNvSpPr>
            <a:spLocks/>
          </xdr:cNvSpPr>
        </xdr:nvSpPr>
        <xdr:spPr>
          <a:xfrm>
            <a:off x="1037" y="59"/>
            <a:ext cx="3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Box 236"/>
          <xdr:cNvSpPr txBox="1">
            <a:spLocks noChangeArrowheads="1"/>
          </xdr:cNvSpPr>
        </xdr:nvSpPr>
        <xdr:spPr>
          <a:xfrm>
            <a:off x="971" y="62"/>
            <a:ext cx="30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RA2
RA0</a:t>
            </a:r>
          </a:p>
        </xdr:txBody>
      </xdr:sp>
      <xdr:sp>
        <xdr:nvSpPr>
          <xdr:cNvPr id="53" name="TextBox 237"/>
          <xdr:cNvSpPr txBox="1">
            <a:spLocks noChangeArrowheads="1"/>
          </xdr:cNvSpPr>
        </xdr:nvSpPr>
        <xdr:spPr>
          <a:xfrm>
            <a:off x="971" y="76"/>
            <a:ext cx="30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RA3
RA3
</a:t>
            </a:r>
          </a:p>
        </xdr:txBody>
      </xdr:sp>
      <xdr:sp>
        <xdr:nvSpPr>
          <xdr:cNvPr id="54" name="TextBox 238"/>
          <xdr:cNvSpPr txBox="1">
            <a:spLocks noChangeArrowheads="1"/>
          </xdr:cNvSpPr>
        </xdr:nvSpPr>
        <xdr:spPr>
          <a:xfrm>
            <a:off x="971" y="120"/>
            <a:ext cx="30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RA5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55" name="TextBox 239"/>
          <xdr:cNvSpPr txBox="1">
            <a:spLocks noChangeArrowheads="1"/>
          </xdr:cNvSpPr>
        </xdr:nvSpPr>
        <xdr:spPr>
          <a:xfrm>
            <a:off x="971" y="98"/>
            <a:ext cx="30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RA4</a:t>
            </a:r>
            <a:r>
              <a: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56" name="TextBox 240"/>
          <xdr:cNvSpPr txBox="1">
            <a:spLocks noChangeArrowheads="1"/>
          </xdr:cNvSpPr>
        </xdr:nvSpPr>
        <xdr:spPr>
          <a:xfrm>
            <a:off x="970" y="163"/>
            <a:ext cx="30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RB0
</a:t>
            </a:r>
          </a:p>
        </xdr:txBody>
      </xdr:sp>
      <xdr:sp>
        <xdr:nvSpPr>
          <xdr:cNvPr id="57" name="TextBox 241"/>
          <xdr:cNvSpPr txBox="1">
            <a:spLocks noChangeArrowheads="1"/>
          </xdr:cNvSpPr>
        </xdr:nvSpPr>
        <xdr:spPr>
          <a:xfrm>
            <a:off x="971" y="184"/>
            <a:ext cx="30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RB1
</a:t>
            </a:r>
          </a:p>
        </xdr:txBody>
      </xdr:sp>
      <xdr:sp>
        <xdr:nvSpPr>
          <xdr:cNvPr id="58" name="TextBox 242"/>
          <xdr:cNvSpPr txBox="1">
            <a:spLocks noChangeArrowheads="1"/>
          </xdr:cNvSpPr>
        </xdr:nvSpPr>
        <xdr:spPr>
          <a:xfrm>
            <a:off x="971" y="207"/>
            <a:ext cx="30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RB2
</a:t>
            </a:r>
          </a:p>
        </xdr:txBody>
      </xdr:sp>
      <xdr:sp>
        <xdr:nvSpPr>
          <xdr:cNvPr id="59" name="TextBox 243"/>
          <xdr:cNvSpPr txBox="1">
            <a:spLocks noChangeArrowheads="1"/>
          </xdr:cNvSpPr>
        </xdr:nvSpPr>
        <xdr:spPr>
          <a:xfrm>
            <a:off x="971" y="229"/>
            <a:ext cx="30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RB3
</a:t>
            </a:r>
          </a:p>
        </xdr:txBody>
      </xdr:sp>
      <xdr:sp>
        <xdr:nvSpPr>
          <xdr:cNvPr id="60" name="TextBox 246"/>
          <xdr:cNvSpPr txBox="1">
            <a:spLocks noChangeArrowheads="1"/>
          </xdr:cNvSpPr>
        </xdr:nvSpPr>
        <xdr:spPr>
          <a:xfrm>
            <a:off x="1107" y="227"/>
            <a:ext cx="30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RB4</a:t>
            </a:r>
          </a:p>
        </xdr:txBody>
      </xdr:sp>
      <xdr:sp>
        <xdr:nvSpPr>
          <xdr:cNvPr id="61" name="TextBox 247"/>
          <xdr:cNvSpPr txBox="1">
            <a:spLocks noChangeArrowheads="1"/>
          </xdr:cNvSpPr>
        </xdr:nvSpPr>
        <xdr:spPr>
          <a:xfrm>
            <a:off x="1107" y="59"/>
            <a:ext cx="30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RA1</a:t>
            </a:r>
          </a:p>
        </xdr:txBody>
      </xdr:sp>
      <xdr:sp>
        <xdr:nvSpPr>
          <xdr:cNvPr id="62" name="TextBox 250"/>
          <xdr:cNvSpPr txBox="1">
            <a:spLocks noChangeArrowheads="1"/>
          </xdr:cNvSpPr>
        </xdr:nvSpPr>
        <xdr:spPr>
          <a:xfrm>
            <a:off x="1107" y="75"/>
            <a:ext cx="30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RA0</a:t>
            </a:r>
          </a:p>
        </xdr:txBody>
      </xdr:sp>
      <xdr:sp>
        <xdr:nvSpPr>
          <xdr:cNvPr id="63" name="TextBox 251"/>
          <xdr:cNvSpPr txBox="1">
            <a:spLocks noChangeArrowheads="1"/>
          </xdr:cNvSpPr>
        </xdr:nvSpPr>
        <xdr:spPr>
          <a:xfrm>
            <a:off x="1107" y="117"/>
            <a:ext cx="30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RA6</a:t>
            </a:r>
          </a:p>
        </xdr:txBody>
      </xdr:sp>
      <xdr:sp>
        <xdr:nvSpPr>
          <xdr:cNvPr id="64" name="TextBox 252"/>
          <xdr:cNvSpPr txBox="1">
            <a:spLocks noChangeArrowheads="1"/>
          </xdr:cNvSpPr>
        </xdr:nvSpPr>
        <xdr:spPr>
          <a:xfrm>
            <a:off x="1107" y="95"/>
            <a:ext cx="30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RA7</a:t>
            </a:r>
          </a:p>
        </xdr:txBody>
      </xdr:sp>
      <xdr:sp>
        <xdr:nvSpPr>
          <xdr:cNvPr id="65" name="TextBox 253"/>
          <xdr:cNvSpPr txBox="1">
            <a:spLocks noChangeArrowheads="1"/>
          </xdr:cNvSpPr>
        </xdr:nvSpPr>
        <xdr:spPr>
          <a:xfrm>
            <a:off x="1107" y="160"/>
            <a:ext cx="30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RB7</a:t>
            </a:r>
          </a:p>
        </xdr:txBody>
      </xdr:sp>
      <xdr:sp>
        <xdr:nvSpPr>
          <xdr:cNvPr id="66" name="TextBox 254"/>
          <xdr:cNvSpPr txBox="1">
            <a:spLocks noChangeArrowheads="1"/>
          </xdr:cNvSpPr>
        </xdr:nvSpPr>
        <xdr:spPr>
          <a:xfrm>
            <a:off x="1107" y="181"/>
            <a:ext cx="30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RB6</a:t>
            </a:r>
          </a:p>
        </xdr:txBody>
      </xdr:sp>
      <xdr:sp>
        <xdr:nvSpPr>
          <xdr:cNvPr id="67" name="TextBox 255"/>
          <xdr:cNvSpPr txBox="1">
            <a:spLocks noChangeArrowheads="1"/>
          </xdr:cNvSpPr>
        </xdr:nvSpPr>
        <xdr:spPr>
          <a:xfrm>
            <a:off x="1107" y="204"/>
            <a:ext cx="30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RB5</a:t>
            </a:r>
          </a:p>
        </xdr:txBody>
      </xdr:sp>
      <xdr:sp>
        <xdr:nvSpPr>
          <xdr:cNvPr id="68" name="Rectangle 257"/>
          <xdr:cNvSpPr>
            <a:spLocks/>
          </xdr:cNvSpPr>
        </xdr:nvSpPr>
        <xdr:spPr>
          <a:xfrm>
            <a:off x="973" y="140"/>
            <a:ext cx="28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258"/>
          <xdr:cNvSpPr>
            <a:spLocks/>
          </xdr:cNvSpPr>
        </xdr:nvSpPr>
        <xdr:spPr>
          <a:xfrm flipV="1">
            <a:off x="984" y="147"/>
            <a:ext cx="13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259"/>
          <xdr:cNvSpPr>
            <a:spLocks/>
          </xdr:cNvSpPr>
        </xdr:nvSpPr>
        <xdr:spPr>
          <a:xfrm>
            <a:off x="1107" y="140"/>
            <a:ext cx="29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1" name="Group 262"/>
          <xdr:cNvGrpSpPr>
            <a:grpSpLocks/>
          </xdr:cNvGrpSpPr>
        </xdr:nvGrpSpPr>
        <xdr:grpSpPr>
          <a:xfrm>
            <a:off x="1111" y="141"/>
            <a:ext cx="16" cy="16"/>
            <a:chOff x="696" y="457"/>
            <a:chExt cx="16" cy="16"/>
          </a:xfrm>
          <a:solidFill>
            <a:srgbClr val="FFFFFF"/>
          </a:solidFill>
        </xdr:grpSpPr>
        <xdr:sp>
          <xdr:nvSpPr>
            <xdr:cNvPr id="72" name="Line 260"/>
            <xdr:cNvSpPr>
              <a:spLocks/>
            </xdr:cNvSpPr>
          </xdr:nvSpPr>
          <xdr:spPr>
            <a:xfrm>
              <a:off x="696" y="465"/>
              <a:ext cx="16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" name="Line 261"/>
            <xdr:cNvSpPr>
              <a:spLocks/>
            </xdr:cNvSpPr>
          </xdr:nvSpPr>
          <xdr:spPr>
            <a:xfrm flipV="1">
              <a:off x="704" y="457"/>
              <a:ext cx="0" cy="16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38100</xdr:colOff>
      <xdr:row>147</xdr:row>
      <xdr:rowOff>28575</xdr:rowOff>
    </xdr:from>
    <xdr:to>
      <xdr:col>4</xdr:col>
      <xdr:colOff>276225</xdr:colOff>
      <xdr:row>147</xdr:row>
      <xdr:rowOff>28575</xdr:rowOff>
    </xdr:to>
    <xdr:sp>
      <xdr:nvSpPr>
        <xdr:cNvPr id="74" name="Line 263"/>
        <xdr:cNvSpPr>
          <a:spLocks/>
        </xdr:cNvSpPr>
      </xdr:nvSpPr>
      <xdr:spPr>
        <a:xfrm>
          <a:off x="3629025" y="26984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148</xdr:row>
      <xdr:rowOff>47625</xdr:rowOff>
    </xdr:from>
    <xdr:to>
      <xdr:col>4</xdr:col>
      <xdr:colOff>285750</xdr:colOff>
      <xdr:row>148</xdr:row>
      <xdr:rowOff>47625</xdr:rowOff>
    </xdr:to>
    <xdr:sp>
      <xdr:nvSpPr>
        <xdr:cNvPr id="75" name="Line 264"/>
        <xdr:cNvSpPr>
          <a:spLocks/>
        </xdr:cNvSpPr>
      </xdr:nvSpPr>
      <xdr:spPr>
        <a:xfrm>
          <a:off x="3638550" y="272034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66675</xdr:rowOff>
    </xdr:from>
    <xdr:to>
      <xdr:col>7</xdr:col>
      <xdr:colOff>1390650</xdr:colOff>
      <xdr:row>14</xdr:row>
      <xdr:rowOff>133350</xdr:rowOff>
    </xdr:to>
    <xdr:sp>
      <xdr:nvSpPr>
        <xdr:cNvPr id="76" name="TextBox 273"/>
        <xdr:cNvSpPr txBox="1">
          <a:spLocks noChangeArrowheads="1"/>
        </xdr:cNvSpPr>
      </xdr:nvSpPr>
      <xdr:spPr>
        <a:xfrm>
          <a:off x="7724775" y="1657350"/>
          <a:ext cx="139065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RA5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n'est configurable qu' en entée.
(de préférence utiliser cette entrée comme reset (MCLRE_ON).</a:t>
          </a:r>
        </a:p>
      </xdr:txBody>
    </xdr:sp>
    <xdr:clientData/>
  </xdr:twoCellAnchor>
  <xdr:twoCellAnchor>
    <xdr:from>
      <xdr:col>7</xdr:col>
      <xdr:colOff>28575</xdr:colOff>
      <xdr:row>3</xdr:row>
      <xdr:rowOff>0</xdr:rowOff>
    </xdr:from>
    <xdr:to>
      <xdr:col>7</xdr:col>
      <xdr:colOff>1371600</xdr:colOff>
      <xdr:row>6</xdr:row>
      <xdr:rowOff>171450</xdr:rowOff>
    </xdr:to>
    <xdr:sp>
      <xdr:nvSpPr>
        <xdr:cNvPr id="77" name="TextBox 274"/>
        <xdr:cNvSpPr txBox="1">
          <a:spLocks noChangeArrowheads="1"/>
        </xdr:cNvSpPr>
      </xdr:nvSpPr>
      <xdr:spPr>
        <a:xfrm>
          <a:off x="7753350" y="552450"/>
          <a:ext cx="13430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RA4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en sortie posséde une sortie  drain onvert .(ne pas relier vers la masse).</a:t>
          </a:r>
        </a:p>
      </xdr:txBody>
    </xdr:sp>
    <xdr:clientData/>
  </xdr:twoCellAnchor>
  <xdr:twoCellAnchor>
    <xdr:from>
      <xdr:col>5</xdr:col>
      <xdr:colOff>171450</xdr:colOff>
      <xdr:row>20</xdr:row>
      <xdr:rowOff>28575</xdr:rowOff>
    </xdr:from>
    <xdr:to>
      <xdr:col>5</xdr:col>
      <xdr:colOff>876300</xdr:colOff>
      <xdr:row>24</xdr:row>
      <xdr:rowOff>95250</xdr:rowOff>
    </xdr:to>
    <xdr:sp>
      <xdr:nvSpPr>
        <xdr:cNvPr id="78" name="TextBox 275"/>
        <xdr:cNvSpPr txBox="1">
          <a:spLocks noChangeArrowheads="1"/>
        </xdr:cNvSpPr>
      </xdr:nvSpPr>
      <xdr:spPr>
        <a:xfrm>
          <a:off x="4533900" y="3514725"/>
          <a:ext cx="70485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Choix 
     de l'oscillation
   (0 à 7)</a:t>
          </a:r>
        </a:p>
      </xdr:txBody>
    </xdr:sp>
    <xdr:clientData/>
  </xdr:twoCellAnchor>
  <xdr:twoCellAnchor>
    <xdr:from>
      <xdr:col>5</xdr:col>
      <xdr:colOff>133350</xdr:colOff>
      <xdr:row>4</xdr:row>
      <xdr:rowOff>19050</xdr:rowOff>
    </xdr:from>
    <xdr:to>
      <xdr:col>5</xdr:col>
      <xdr:colOff>838200</xdr:colOff>
      <xdr:row>7</xdr:row>
      <xdr:rowOff>133350</xdr:rowOff>
    </xdr:to>
    <xdr:sp>
      <xdr:nvSpPr>
        <xdr:cNvPr id="79" name="TextBox 276"/>
        <xdr:cNvSpPr txBox="1">
          <a:spLocks noChangeArrowheads="1"/>
        </xdr:cNvSpPr>
      </xdr:nvSpPr>
      <xdr:spPr>
        <a:xfrm>
          <a:off x="4495800" y="733425"/>
          <a:ext cx="7048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Choix 
     de protection
   (1 à 4)</a:t>
          </a:r>
        </a:p>
      </xdr:txBody>
    </xdr:sp>
    <xdr:clientData/>
  </xdr:twoCellAnchor>
  <xdr:twoCellAnchor>
    <xdr:from>
      <xdr:col>6</xdr:col>
      <xdr:colOff>19050</xdr:colOff>
      <xdr:row>114</xdr:row>
      <xdr:rowOff>161925</xdr:rowOff>
    </xdr:from>
    <xdr:to>
      <xdr:col>6</xdr:col>
      <xdr:colOff>857250</xdr:colOff>
      <xdr:row>117</xdr:row>
      <xdr:rowOff>190500</xdr:rowOff>
    </xdr:to>
    <xdr:sp>
      <xdr:nvSpPr>
        <xdr:cNvPr id="80" name="Line 278"/>
        <xdr:cNvSpPr>
          <a:spLocks/>
        </xdr:cNvSpPr>
      </xdr:nvSpPr>
      <xdr:spPr>
        <a:xfrm flipH="1" flipV="1">
          <a:off x="5476875" y="21145500"/>
          <a:ext cx="8382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117</xdr:row>
      <xdr:rowOff>190500</xdr:rowOff>
    </xdr:from>
    <xdr:to>
      <xdr:col>6</xdr:col>
      <xdr:colOff>857250</xdr:colOff>
      <xdr:row>117</xdr:row>
      <xdr:rowOff>190500</xdr:rowOff>
    </xdr:to>
    <xdr:sp>
      <xdr:nvSpPr>
        <xdr:cNvPr id="81" name="Line 279"/>
        <xdr:cNvSpPr>
          <a:spLocks/>
        </xdr:cNvSpPr>
      </xdr:nvSpPr>
      <xdr:spPr>
        <a:xfrm flipH="1">
          <a:off x="5667375" y="21774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31</xdr:row>
      <xdr:rowOff>219075</xdr:rowOff>
    </xdr:from>
    <xdr:to>
      <xdr:col>5</xdr:col>
      <xdr:colOff>523875</xdr:colOff>
      <xdr:row>32</xdr:row>
      <xdr:rowOff>133350</xdr:rowOff>
    </xdr:to>
    <xdr:sp>
      <xdr:nvSpPr>
        <xdr:cNvPr id="82" name="Line 282"/>
        <xdr:cNvSpPr>
          <a:spLocks/>
        </xdr:cNvSpPr>
      </xdr:nvSpPr>
      <xdr:spPr>
        <a:xfrm>
          <a:off x="4886325" y="5562600"/>
          <a:ext cx="0" cy="142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16</xdr:row>
      <xdr:rowOff>123825</xdr:rowOff>
    </xdr:from>
    <xdr:to>
      <xdr:col>4</xdr:col>
      <xdr:colOff>1400175</xdr:colOff>
      <xdr:row>19</xdr:row>
      <xdr:rowOff>66675</xdr:rowOff>
    </xdr:to>
    <xdr:sp>
      <xdr:nvSpPr>
        <xdr:cNvPr id="1" name="Line 1"/>
        <xdr:cNvSpPr>
          <a:spLocks/>
        </xdr:cNvSpPr>
      </xdr:nvSpPr>
      <xdr:spPr>
        <a:xfrm>
          <a:off x="2876550" y="3019425"/>
          <a:ext cx="15716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9</xdr:row>
      <xdr:rowOff>28575</xdr:rowOff>
    </xdr:from>
    <xdr:to>
      <xdr:col>3</xdr:col>
      <xdr:colOff>371475</xdr:colOff>
      <xdr:row>11</xdr:row>
      <xdr:rowOff>28575</xdr:rowOff>
    </xdr:to>
    <xdr:sp>
      <xdr:nvSpPr>
        <xdr:cNvPr id="2" name="Line 2"/>
        <xdr:cNvSpPr>
          <a:spLocks/>
        </xdr:cNvSpPr>
      </xdr:nvSpPr>
      <xdr:spPr>
        <a:xfrm>
          <a:off x="2657475" y="1619250"/>
          <a:ext cx="0" cy="3238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9</xdr:row>
      <xdr:rowOff>38100</xdr:rowOff>
    </xdr:from>
    <xdr:to>
      <xdr:col>4</xdr:col>
      <xdr:colOff>495300</xdr:colOff>
      <xdr:row>11</xdr:row>
      <xdr:rowOff>123825</xdr:rowOff>
    </xdr:to>
    <xdr:sp>
      <xdr:nvSpPr>
        <xdr:cNvPr id="3" name="Line 3"/>
        <xdr:cNvSpPr>
          <a:spLocks/>
        </xdr:cNvSpPr>
      </xdr:nvSpPr>
      <xdr:spPr>
        <a:xfrm>
          <a:off x="3543300" y="1628775"/>
          <a:ext cx="0" cy="4095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17</xdr:row>
      <xdr:rowOff>190500</xdr:rowOff>
    </xdr:from>
    <xdr:to>
      <xdr:col>2</xdr:col>
      <xdr:colOff>0</xdr:colOff>
      <xdr:row>21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2400" y="3286125"/>
          <a:ext cx="13716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registre non accessible par programmation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352425</xdr:colOff>
      <xdr:row>3</xdr:row>
      <xdr:rowOff>104775</xdr:rowOff>
    </xdr:from>
    <xdr:to>
      <xdr:col>16</xdr:col>
      <xdr:colOff>333375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6638925" y="66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152400</xdr:rowOff>
    </xdr:from>
    <xdr:to>
      <xdr:col>17</xdr:col>
      <xdr:colOff>371475</xdr:colOff>
      <xdr:row>48</xdr:row>
      <xdr:rowOff>38100</xdr:rowOff>
    </xdr:to>
    <xdr:graphicFrame>
      <xdr:nvGraphicFramePr>
        <xdr:cNvPr id="2" name="Chart 2"/>
        <xdr:cNvGraphicFramePr/>
      </xdr:nvGraphicFramePr>
      <xdr:xfrm>
        <a:off x="1524000" y="3419475"/>
        <a:ext cx="59150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7"/>
  <sheetViews>
    <sheetView tabSelected="1" workbookViewId="0" topLeftCell="A1">
      <selection activeCell="I81" sqref="I81"/>
    </sheetView>
  </sheetViews>
  <sheetFormatPr defaultColWidth="11.421875" defaultRowHeight="12.75"/>
  <cols>
    <col min="1" max="1" width="20.8515625" style="0" customWidth="1"/>
    <col min="2" max="2" width="11.8515625" style="0" customWidth="1"/>
    <col min="4" max="4" width="7.140625" style="0" customWidth="1"/>
    <col min="5" max="5" width="19.00390625" style="0" customWidth="1"/>
    <col min="6" max="6" width="9.00390625" style="0" customWidth="1"/>
    <col min="7" max="7" width="24.421875" style="0" customWidth="1"/>
    <col min="8" max="8" width="13.7109375" style="0" customWidth="1"/>
    <col min="9" max="9" width="11.28125" style="0" customWidth="1"/>
    <col min="10" max="10" width="6.28125" style="0" customWidth="1"/>
    <col min="11" max="11" width="3.28125" style="0" customWidth="1"/>
    <col min="12" max="12" width="4.140625" style="0" customWidth="1"/>
    <col min="13" max="13" width="27.57421875" style="0" customWidth="1"/>
    <col min="14" max="14" width="5.00390625" style="0" customWidth="1"/>
    <col min="15" max="15" width="7.00390625" style="0" customWidth="1"/>
    <col min="16" max="17" width="5.00390625" style="0" customWidth="1"/>
    <col min="18" max="18" width="5.7109375" style="0" customWidth="1"/>
    <col min="19" max="19" width="9.140625" style="0" customWidth="1"/>
    <col min="20" max="20" width="7.140625" style="0" hidden="1" customWidth="1"/>
    <col min="21" max="22" width="5.00390625" style="0" hidden="1" customWidth="1"/>
    <col min="23" max="23" width="5.28125" style="0" hidden="1" customWidth="1"/>
    <col min="24" max="24" width="15.00390625" style="0" hidden="1" customWidth="1"/>
    <col min="25" max="30" width="11.421875" style="0" hidden="1" customWidth="1"/>
  </cols>
  <sheetData>
    <row r="1" spans="1:16" ht="48.75" customHeight="1">
      <c r="A1" s="91" t="s">
        <v>218</v>
      </c>
      <c r="B1" s="90"/>
      <c r="C1" s="90"/>
      <c r="D1" s="90"/>
      <c r="E1" s="90"/>
      <c r="F1" s="90"/>
      <c r="G1" s="90"/>
      <c r="H1" s="90"/>
      <c r="I1" s="2"/>
      <c r="J1" s="2"/>
      <c r="K1" s="2"/>
      <c r="L1" s="2"/>
      <c r="M1" s="2"/>
      <c r="N1" s="2"/>
      <c r="O1" s="2"/>
      <c r="P1" s="2"/>
    </row>
    <row r="2" spans="1:16" ht="15.75">
      <c r="A2" s="5" t="s">
        <v>304</v>
      </c>
      <c r="B2" s="2"/>
      <c r="C2" s="2"/>
      <c r="D2" s="2"/>
      <c r="E2" s="3" t="s">
        <v>0</v>
      </c>
      <c r="F2" s="2"/>
      <c r="G2" s="2"/>
      <c r="H2" s="2"/>
      <c r="I2" s="2"/>
      <c r="J2" s="2"/>
      <c r="K2" s="2"/>
      <c r="L2" s="2"/>
      <c r="M2" s="2"/>
      <c r="O2" s="2"/>
      <c r="P2" s="2"/>
    </row>
    <row r="3" spans="1:16" ht="13.5" thickBo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2"/>
      <c r="P3" s="2"/>
    </row>
    <row r="4" spans="1:30" ht="16.5" thickBot="1">
      <c r="A4" s="128" t="s">
        <v>223</v>
      </c>
      <c r="B4" s="129"/>
      <c r="C4" s="35"/>
      <c r="D4" s="35"/>
      <c r="E4" s="35"/>
      <c r="F4" s="35"/>
      <c r="G4" s="35"/>
      <c r="H4" s="35"/>
      <c r="I4" s="35"/>
      <c r="J4" s="35"/>
      <c r="K4" s="35"/>
      <c r="L4" s="35"/>
      <c r="M4" s="37"/>
      <c r="O4" s="2"/>
      <c r="P4" s="2"/>
      <c r="T4" s="53"/>
      <c r="U4" s="53"/>
      <c r="V4" s="53" t="s">
        <v>217</v>
      </c>
      <c r="W4" s="53"/>
      <c r="X4" s="53"/>
      <c r="Y4" s="53"/>
      <c r="Z4" s="53"/>
      <c r="AA4" s="53"/>
      <c r="AB4" s="53"/>
      <c r="AC4" s="53"/>
      <c r="AD4" s="54"/>
    </row>
    <row r="5" spans="1:30" ht="18">
      <c r="A5" s="40"/>
      <c r="B5" s="2"/>
      <c r="C5" s="6" t="s">
        <v>219</v>
      </c>
      <c r="D5" s="4"/>
      <c r="E5" s="1"/>
      <c r="F5" s="4"/>
      <c r="G5" s="4"/>
      <c r="H5" s="2"/>
      <c r="I5" s="2"/>
      <c r="J5" s="2"/>
      <c r="K5" s="2"/>
      <c r="L5" s="2"/>
      <c r="M5" s="39"/>
      <c r="T5" s="2" t="s">
        <v>204</v>
      </c>
      <c r="U5" s="2"/>
      <c r="V5" s="2"/>
      <c r="W5" s="2"/>
      <c r="X5" s="2"/>
      <c r="Y5" s="2"/>
      <c r="Z5" s="2"/>
      <c r="AA5" s="2"/>
      <c r="AB5" s="2"/>
      <c r="AC5" s="2"/>
      <c r="AD5" s="50"/>
    </row>
    <row r="6" spans="1:30" ht="12.75">
      <c r="A6" s="40"/>
      <c r="B6" s="2"/>
      <c r="C6" s="2"/>
      <c r="D6" s="2"/>
      <c r="E6" s="1"/>
      <c r="F6" s="2"/>
      <c r="G6" s="2"/>
      <c r="H6" s="2"/>
      <c r="I6" s="2"/>
      <c r="J6" s="2"/>
      <c r="K6" s="2"/>
      <c r="L6" s="2"/>
      <c r="M6" s="39"/>
      <c r="T6" s="2"/>
      <c r="U6" s="2"/>
      <c r="V6" s="2"/>
      <c r="W6" s="2"/>
      <c r="X6" s="2"/>
      <c r="Y6" s="2">
        <v>12288</v>
      </c>
      <c r="Z6" s="11" t="s">
        <v>206</v>
      </c>
      <c r="AA6" s="2"/>
      <c r="AB6" s="2"/>
      <c r="AC6" s="2"/>
      <c r="AD6" s="50"/>
    </row>
    <row r="7" spans="1:30" ht="13.5" thickBot="1">
      <c r="A7" s="38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9"/>
      <c r="T7" s="2"/>
      <c r="U7" s="2"/>
      <c r="V7" s="2"/>
      <c r="W7" s="2"/>
      <c r="X7" s="2">
        <v>128</v>
      </c>
      <c r="Y7" s="2"/>
      <c r="Z7" s="2" t="s">
        <v>53</v>
      </c>
      <c r="AA7" s="2"/>
      <c r="AB7" s="2"/>
      <c r="AC7" s="2"/>
      <c r="AD7" s="50"/>
    </row>
    <row r="8" spans="1:30" ht="12.75">
      <c r="A8" s="38" t="s">
        <v>1</v>
      </c>
      <c r="B8" s="2"/>
      <c r="C8" s="2" t="s">
        <v>200</v>
      </c>
      <c r="D8" s="55">
        <v>0</v>
      </c>
      <c r="E8" s="92" t="str">
        <f>IF(D8=1,"_CPD_ON","_CPD_OFF")</f>
        <v>_CPD_OFF</v>
      </c>
      <c r="F8" s="92" t="str">
        <f>IF(D8=1,"EEprom protégée","Pas de protection")</f>
        <v>Pas de protection</v>
      </c>
      <c r="G8" s="92"/>
      <c r="H8" s="2"/>
      <c r="I8" s="2"/>
      <c r="J8" s="2"/>
      <c r="K8" s="2"/>
      <c r="L8" s="2"/>
      <c r="M8" s="39"/>
      <c r="T8" s="2"/>
      <c r="U8" s="2"/>
      <c r="V8" s="2"/>
      <c r="W8" s="2"/>
      <c r="X8" s="2">
        <v>256</v>
      </c>
      <c r="Y8" s="2"/>
      <c r="Z8" s="2" t="s">
        <v>200</v>
      </c>
      <c r="AA8" s="2"/>
      <c r="AB8" s="2"/>
      <c r="AC8" s="2"/>
      <c r="AD8" s="50"/>
    </row>
    <row r="9" spans="1:30" ht="12.75">
      <c r="A9" s="38" t="s">
        <v>2</v>
      </c>
      <c r="B9" s="2"/>
      <c r="C9" s="2" t="s">
        <v>53</v>
      </c>
      <c r="D9" s="56">
        <v>0</v>
      </c>
      <c r="E9" s="92" t="str">
        <f>IF(D9=1,"_CP_ON","_CP_OFF")</f>
        <v>_CP_OFF</v>
      </c>
      <c r="F9" s="92" t="str">
        <f>IF(D9=1,"Protection totale","Pas de protection")</f>
        <v>Pas de protection</v>
      </c>
      <c r="G9" s="92"/>
      <c r="H9" s="2"/>
      <c r="I9" s="2"/>
      <c r="J9" s="2"/>
      <c r="K9" s="2"/>
      <c r="L9" s="2"/>
      <c r="M9" s="39"/>
      <c r="T9" s="2"/>
      <c r="U9" s="2"/>
      <c r="V9" s="2"/>
      <c r="W9" s="2"/>
      <c r="X9" s="2">
        <v>64</v>
      </c>
      <c r="Y9" s="2"/>
      <c r="Z9" s="2" t="s">
        <v>29</v>
      </c>
      <c r="AA9" s="2"/>
      <c r="AB9" s="2"/>
      <c r="AC9" s="2"/>
      <c r="AD9" s="50"/>
    </row>
    <row r="10" spans="1:30" ht="12.75">
      <c r="A10" s="38" t="s">
        <v>3</v>
      </c>
      <c r="B10" s="2"/>
      <c r="C10" s="2" t="s">
        <v>29</v>
      </c>
      <c r="D10" s="56">
        <v>0</v>
      </c>
      <c r="E10" s="92" t="str">
        <f>IF(D10=1,"_BODEN_ON","_BODEN_OFF")</f>
        <v>_BODEN_OFF</v>
      </c>
      <c r="F10" s="92" t="str">
        <f>IF(D10=1,"Valide PWRTE_ON Reset tension en service","Pas de reset tension")</f>
        <v>Pas de reset tension</v>
      </c>
      <c r="G10" s="92"/>
      <c r="H10" s="2"/>
      <c r="I10" s="2"/>
      <c r="J10" s="2"/>
      <c r="K10" s="2"/>
      <c r="L10" s="2"/>
      <c r="M10" s="39"/>
      <c r="T10" s="2"/>
      <c r="U10" s="2"/>
      <c r="V10" s="2"/>
      <c r="W10" s="2"/>
      <c r="X10" s="2">
        <v>32</v>
      </c>
      <c r="Y10" s="2"/>
      <c r="Z10" s="2" t="s">
        <v>32</v>
      </c>
      <c r="AA10" s="2"/>
      <c r="AB10" s="2"/>
      <c r="AC10" s="2"/>
      <c r="AD10" s="50"/>
    </row>
    <row r="11" spans="1:30" ht="12.75">
      <c r="A11" s="38" t="s">
        <v>4</v>
      </c>
      <c r="B11" s="2"/>
      <c r="C11" s="2" t="s">
        <v>32</v>
      </c>
      <c r="D11" s="56">
        <v>0</v>
      </c>
      <c r="E11" s="92" t="str">
        <f>IF(D11=1,"_MCLRE_ON","_MCLRE_OFF")</f>
        <v>_MCLRE_OFF</v>
      </c>
      <c r="F11" s="92" t="str">
        <f>IF(D11=1,"GP3/MCLR est utilisé pour le RESET","GP3/MCLR est utilisé comme entree sortie")</f>
        <v>GP3/MCLR est utilisé comme entree sortie</v>
      </c>
      <c r="G11" s="92"/>
      <c r="H11" s="2"/>
      <c r="I11" s="2"/>
      <c r="J11" s="2"/>
      <c r="K11" s="2"/>
      <c r="L11" s="2"/>
      <c r="M11" s="39"/>
      <c r="T11" s="2"/>
      <c r="U11" s="2"/>
      <c r="V11" s="2"/>
      <c r="W11" s="2"/>
      <c r="X11" s="2">
        <v>16</v>
      </c>
      <c r="Y11" s="2"/>
      <c r="Z11" s="2" t="s">
        <v>35</v>
      </c>
      <c r="AA11" s="2"/>
      <c r="AB11" s="2"/>
      <c r="AC11" s="2"/>
      <c r="AD11" s="50"/>
    </row>
    <row r="12" spans="1:30" ht="12.75">
      <c r="A12" s="38" t="s">
        <v>5</v>
      </c>
      <c r="B12" s="2"/>
      <c r="C12" s="2" t="s">
        <v>35</v>
      </c>
      <c r="D12" s="56">
        <v>1</v>
      </c>
      <c r="E12" s="92" t="str">
        <f>IF(D12=1,"_PWRTE_ON","_PWRTE_OFF")</f>
        <v>_PWRTE_ON</v>
      </c>
      <c r="F12" s="92" t="str">
        <f>IF(D12=1,"Demarrage temporisé 72µs","Demarrage rapide ")</f>
        <v>Demarrage temporisé 72µs</v>
      </c>
      <c r="G12" s="92"/>
      <c r="H12" s="2"/>
      <c r="I12" s="2"/>
      <c r="J12" s="2"/>
      <c r="K12" s="2"/>
      <c r="L12" s="2"/>
      <c r="M12" s="39"/>
      <c r="T12" s="2"/>
      <c r="U12" s="2"/>
      <c r="V12" s="2"/>
      <c r="W12" s="2"/>
      <c r="X12" s="2">
        <v>8</v>
      </c>
      <c r="Y12" s="2"/>
      <c r="Z12" s="2" t="s">
        <v>39</v>
      </c>
      <c r="AA12" s="2"/>
      <c r="AB12" s="2"/>
      <c r="AC12" s="2"/>
      <c r="AD12" s="50"/>
    </row>
    <row r="13" spans="1:30" ht="12.75">
      <c r="A13" s="38" t="s">
        <v>6</v>
      </c>
      <c r="B13" s="2"/>
      <c r="C13" s="2" t="s">
        <v>39</v>
      </c>
      <c r="D13" s="56">
        <v>0</v>
      </c>
      <c r="E13" s="92" t="str">
        <f>IF(D13=1,"_WDT_ON","_WDT_OFF")</f>
        <v>_WDT_OFF</v>
      </c>
      <c r="F13" s="92" t="str">
        <f>IF(D13=1,"Watchdog en service","Watchdog hors service")</f>
        <v>Watchdog hors service</v>
      </c>
      <c r="G13" s="92"/>
      <c r="H13" s="2"/>
      <c r="I13" s="2"/>
      <c r="J13" s="2"/>
      <c r="K13" s="2"/>
      <c r="L13" s="2"/>
      <c r="M13" s="39"/>
      <c r="T13" s="2"/>
      <c r="U13" s="2"/>
      <c r="V13" s="2"/>
      <c r="W13" s="2"/>
      <c r="X13" s="2">
        <v>4</v>
      </c>
      <c r="Y13" s="2">
        <f>IF(D14=1,X13,0)</f>
        <v>4</v>
      </c>
      <c r="Z13" s="31" t="s">
        <v>201</v>
      </c>
      <c r="AA13" s="2"/>
      <c r="AB13" s="2"/>
      <c r="AC13" s="2"/>
      <c r="AD13" s="50"/>
    </row>
    <row r="14" spans="1:30" ht="13.5" thickBot="1">
      <c r="A14" s="38" t="s">
        <v>222</v>
      </c>
      <c r="B14" s="2"/>
      <c r="C14" s="11" t="s">
        <v>199</v>
      </c>
      <c r="D14" s="57">
        <v>1</v>
      </c>
      <c r="E14" s="92" t="str">
        <f>IF(D14=0,G15,IF(D14=F16,G16,IF(D14=F17,G17,IF(D14=F18,G18,IF(D14=F19,G19,IF(D14=F20,G20,IF(D14=F21,G21,IF(D14=F22,G22))))))))</f>
        <v>_INTRC_OSC_CLKOUT</v>
      </c>
      <c r="F14" s="2"/>
      <c r="G14" s="2"/>
      <c r="H14" s="2"/>
      <c r="I14" s="2"/>
      <c r="J14" s="2"/>
      <c r="K14" s="2"/>
      <c r="L14" s="2"/>
      <c r="M14" s="39"/>
      <c r="T14" s="2">
        <f>IF($D$14=0,1,0)</f>
        <v>0</v>
      </c>
      <c r="U14" s="2">
        <f>IF($D$14=0,0,0)</f>
        <v>0</v>
      </c>
      <c r="V14" s="2">
        <f>IF($D$14=0,0,0)</f>
        <v>0</v>
      </c>
      <c r="W14" s="2"/>
      <c r="X14" s="2">
        <v>4</v>
      </c>
      <c r="Y14" s="2"/>
      <c r="Z14" s="2"/>
      <c r="AA14" s="2"/>
      <c r="AB14" s="2"/>
      <c r="AC14" s="2"/>
      <c r="AD14" s="50"/>
    </row>
    <row r="15" spans="1:30" ht="12.75">
      <c r="A15" s="38"/>
      <c r="B15" s="2"/>
      <c r="C15" s="2"/>
      <c r="D15" s="2"/>
      <c r="E15" s="2"/>
      <c r="F15" s="7">
        <v>0</v>
      </c>
      <c r="G15" s="2" t="s">
        <v>7</v>
      </c>
      <c r="H15" s="46" t="s">
        <v>195</v>
      </c>
      <c r="I15" s="2" t="s">
        <v>8</v>
      </c>
      <c r="J15" s="2"/>
      <c r="K15" s="2"/>
      <c r="L15" s="2"/>
      <c r="M15" s="39"/>
      <c r="T15" s="2">
        <f>IF($D$14=1,1,0)</f>
        <v>1</v>
      </c>
      <c r="U15" s="2">
        <f>IF($D$14=1,0,0)</f>
        <v>0</v>
      </c>
      <c r="V15" s="2">
        <f>IF($D$14=1,1,0)</f>
        <v>1</v>
      </c>
      <c r="W15" s="2"/>
      <c r="X15" s="2">
        <v>5</v>
      </c>
      <c r="Y15" s="2"/>
      <c r="Z15" s="2"/>
      <c r="AA15" s="2"/>
      <c r="AB15" s="2"/>
      <c r="AC15" s="2"/>
      <c r="AD15" s="50"/>
    </row>
    <row r="16" spans="1:30" ht="15.75">
      <c r="A16" s="38"/>
      <c r="B16" s="2"/>
      <c r="C16" s="48" t="s">
        <v>202</v>
      </c>
      <c r="D16" s="248" t="str">
        <f>Y32</f>
        <v>3185</v>
      </c>
      <c r="E16" s="2"/>
      <c r="F16" s="8">
        <v>1</v>
      </c>
      <c r="G16" s="2" t="s">
        <v>9</v>
      </c>
      <c r="H16" s="46" t="s">
        <v>196</v>
      </c>
      <c r="I16" s="2" t="s">
        <v>10</v>
      </c>
      <c r="J16" s="2"/>
      <c r="K16" s="2"/>
      <c r="L16" s="2"/>
      <c r="M16" s="39"/>
      <c r="T16" s="2">
        <f>IF($D$14=2,1,0)</f>
        <v>0</v>
      </c>
      <c r="U16" s="2">
        <f>IF($D$14=2,1,0)</f>
        <v>0</v>
      </c>
      <c r="V16" s="2">
        <f>IF($D$14=2,0,0)</f>
        <v>0</v>
      </c>
      <c r="W16" s="2"/>
      <c r="X16" s="2">
        <v>6</v>
      </c>
      <c r="Y16" s="2"/>
      <c r="Z16" s="2"/>
      <c r="AA16" s="2"/>
      <c r="AB16" s="2"/>
      <c r="AC16" s="2"/>
      <c r="AD16" s="50"/>
    </row>
    <row r="17" spans="1:30" ht="12.75">
      <c r="A17" s="38"/>
      <c r="B17" s="2"/>
      <c r="C17" s="2"/>
      <c r="D17" s="2"/>
      <c r="E17" s="2"/>
      <c r="F17" s="8">
        <v>2</v>
      </c>
      <c r="G17" s="2" t="s">
        <v>11</v>
      </c>
      <c r="H17" s="46" t="s">
        <v>197</v>
      </c>
      <c r="I17" s="2" t="s">
        <v>12</v>
      </c>
      <c r="J17" s="2"/>
      <c r="K17" s="2"/>
      <c r="L17" s="2"/>
      <c r="M17" s="39"/>
      <c r="T17" s="2">
        <f>IF($D$14=3,1,0)</f>
        <v>0</v>
      </c>
      <c r="U17" s="2">
        <f>IF($D$14=3,1,0)</f>
        <v>0</v>
      </c>
      <c r="V17" s="2">
        <f>IF($D$14=3,1,0)</f>
        <v>0</v>
      </c>
      <c r="W17" s="2"/>
      <c r="X17" s="31">
        <v>7</v>
      </c>
      <c r="Y17" s="2"/>
      <c r="Z17" s="2"/>
      <c r="AA17" s="2"/>
      <c r="AB17" s="2"/>
      <c r="AC17" s="2"/>
      <c r="AD17" s="50"/>
    </row>
    <row r="18" spans="1:30" ht="12.75">
      <c r="A18" s="38"/>
      <c r="B18" s="2"/>
      <c r="C18" s="2"/>
      <c r="D18" s="2"/>
      <c r="E18" s="2"/>
      <c r="F18" s="8">
        <v>3</v>
      </c>
      <c r="G18" s="2" t="s">
        <v>13</v>
      </c>
      <c r="H18" s="46" t="s">
        <v>198</v>
      </c>
      <c r="I18" s="2" t="s">
        <v>14</v>
      </c>
      <c r="J18" s="2"/>
      <c r="K18" s="2"/>
      <c r="L18" s="2"/>
      <c r="M18" s="39"/>
      <c r="T18" s="2">
        <f>IF($D$14=4,0,0)</f>
        <v>0</v>
      </c>
      <c r="U18" s="2">
        <f>IF($D$14=4,1,0)</f>
        <v>0</v>
      </c>
      <c r="V18" s="2">
        <f>IF($D$14=4,1,0)</f>
        <v>0</v>
      </c>
      <c r="W18" s="2"/>
      <c r="X18" s="31">
        <v>3</v>
      </c>
      <c r="Y18" s="2"/>
      <c r="Z18" s="2"/>
      <c r="AA18" s="2"/>
      <c r="AB18" s="2"/>
      <c r="AC18" s="2"/>
      <c r="AD18" s="50"/>
    </row>
    <row r="19" spans="1:30" ht="12.75">
      <c r="A19" s="38"/>
      <c r="B19" s="2"/>
      <c r="C19" s="2"/>
      <c r="D19" s="2"/>
      <c r="E19" s="2"/>
      <c r="F19" s="8">
        <v>4</v>
      </c>
      <c r="G19" s="2" t="s">
        <v>15</v>
      </c>
      <c r="H19" s="47" t="s">
        <v>194</v>
      </c>
      <c r="I19" s="2" t="s">
        <v>16</v>
      </c>
      <c r="J19" s="2"/>
      <c r="K19" s="2"/>
      <c r="L19" s="2"/>
      <c r="M19" s="39"/>
      <c r="T19" s="2">
        <f>IF($D$14=5,0,0)</f>
        <v>0</v>
      </c>
      <c r="U19" s="2">
        <f>IF($D$14=5,0,0)</f>
        <v>0</v>
      </c>
      <c r="V19" s="2">
        <f>IF($D$14=5,0,0)</f>
        <v>0</v>
      </c>
      <c r="W19" s="2"/>
      <c r="X19" s="31">
        <v>0</v>
      </c>
      <c r="Y19" s="2"/>
      <c r="Z19" s="2"/>
      <c r="AA19" s="2"/>
      <c r="AB19" s="2"/>
      <c r="AC19" s="2"/>
      <c r="AD19" s="50"/>
    </row>
    <row r="20" spans="1:30" ht="12.75">
      <c r="A20" s="38"/>
      <c r="B20" s="2"/>
      <c r="C20" s="2"/>
      <c r="D20" s="2"/>
      <c r="E20" s="2"/>
      <c r="F20" s="8">
        <v>5</v>
      </c>
      <c r="G20" s="2" t="s">
        <v>193</v>
      </c>
      <c r="H20" s="46" t="s">
        <v>192</v>
      </c>
      <c r="I20" s="2" t="s">
        <v>17</v>
      </c>
      <c r="J20" s="2"/>
      <c r="K20" s="2"/>
      <c r="L20" s="2"/>
      <c r="M20" s="39"/>
      <c r="T20" s="2">
        <f>IF($D$14=6,0,0)</f>
        <v>0</v>
      </c>
      <c r="U20" s="2">
        <f>IF($D$14=6,0,0)</f>
        <v>0</v>
      </c>
      <c r="V20" s="2">
        <f>IF($D$14=6,1,0)</f>
        <v>0</v>
      </c>
      <c r="W20" s="2"/>
      <c r="X20" s="31">
        <v>2</v>
      </c>
      <c r="Y20" s="2"/>
      <c r="Z20" s="2"/>
      <c r="AA20" s="2"/>
      <c r="AB20" s="2"/>
      <c r="AC20" s="2"/>
      <c r="AD20" s="50"/>
    </row>
    <row r="21" spans="1:30" ht="12.75">
      <c r="A21" s="38"/>
      <c r="B21" s="2"/>
      <c r="C21" s="2"/>
      <c r="D21" s="2"/>
      <c r="E21" s="2"/>
      <c r="F21" s="8">
        <v>6</v>
      </c>
      <c r="G21" s="2" t="s">
        <v>18</v>
      </c>
      <c r="H21" s="47" t="s">
        <v>190</v>
      </c>
      <c r="I21" s="2" t="s">
        <v>19</v>
      </c>
      <c r="J21" s="2"/>
      <c r="K21" s="2"/>
      <c r="L21" s="2"/>
      <c r="M21" s="39"/>
      <c r="T21" s="2">
        <f>IF($D$14=7,0,0)</f>
        <v>0</v>
      </c>
      <c r="U21" s="2">
        <f>IF($D$14=7,1,0)</f>
        <v>0</v>
      </c>
      <c r="V21" s="2">
        <f>IF($D$14=7,0,0)</f>
        <v>0</v>
      </c>
      <c r="W21" s="2"/>
      <c r="X21" s="31">
        <v>4</v>
      </c>
      <c r="Y21" s="2"/>
      <c r="Z21" s="2"/>
      <c r="AA21" s="2"/>
      <c r="AB21" s="2"/>
      <c r="AC21" s="2"/>
      <c r="AD21" s="50"/>
    </row>
    <row r="22" spans="2:30" ht="13.5" thickBot="1">
      <c r="B22" s="225" t="s">
        <v>203</v>
      </c>
      <c r="C22" s="111"/>
      <c r="D22" s="111" t="str">
        <f>Y32</f>
        <v>3185</v>
      </c>
      <c r="E22" s="2"/>
      <c r="F22" s="9">
        <v>7</v>
      </c>
      <c r="G22" s="2" t="s">
        <v>20</v>
      </c>
      <c r="H22" s="46" t="s">
        <v>191</v>
      </c>
      <c r="I22" s="2" t="s">
        <v>21</v>
      </c>
      <c r="J22" s="2"/>
      <c r="K22" s="2"/>
      <c r="L22" s="2"/>
      <c r="M22" s="39"/>
      <c r="T22" s="2"/>
      <c r="U22" s="2"/>
      <c r="V22" s="2"/>
      <c r="W22" s="2"/>
      <c r="X22" s="2"/>
      <c r="Y22" s="2"/>
      <c r="Z22" s="2"/>
      <c r="AA22" s="2"/>
      <c r="AB22" s="2"/>
      <c r="AC22" s="2"/>
      <c r="AD22" s="50"/>
    </row>
    <row r="23" spans="1:30" ht="12.75">
      <c r="A23" s="38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9"/>
      <c r="T23" s="2"/>
      <c r="U23" s="2">
        <f>IF(D9=0,1,0)</f>
        <v>1</v>
      </c>
      <c r="V23" s="2">
        <f>IF(D8=0,1,0)</f>
        <v>1</v>
      </c>
      <c r="W23" s="2">
        <f>IF(D10=1,1,0)</f>
        <v>0</v>
      </c>
      <c r="X23" s="2">
        <f>IF(D11=1,1,0)</f>
        <v>0</v>
      </c>
      <c r="Y23" s="2">
        <f>IF(D12=0,1,0)</f>
        <v>0</v>
      </c>
      <c r="Z23" s="2">
        <f>IF(D13=1,1,0)</f>
        <v>0</v>
      </c>
      <c r="AA23" s="2">
        <f>SUM(T14:T21)</f>
        <v>1</v>
      </c>
      <c r="AB23" s="2">
        <f>SUM(U14:U21)</f>
        <v>0</v>
      </c>
      <c r="AC23" s="2">
        <f>SUM(V14:V21)</f>
        <v>1</v>
      </c>
      <c r="AD23" s="50"/>
    </row>
    <row r="24" spans="1:30" ht="15.75">
      <c r="A24" s="130" t="s">
        <v>22</v>
      </c>
      <c r="B24" s="111" t="str">
        <f>"__CONFIG    "&amp;E8&amp;" &amp; "&amp;E9&amp;" &amp; "&amp;E10&amp;" &amp; "&amp;E11&amp;" &amp; "&amp;E12&amp;" &amp; "&amp;E13&amp;" &amp; "&amp;E14</f>
        <v>__CONFIG    _CPD_OFF &amp; _CP_OFF &amp; _BODEN_OFF &amp; _MCLRE_OFF &amp; _PWRTE_ON &amp; _WDT_OFF &amp; _INTRC_OSC_CLKOUT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39"/>
      <c r="T24" s="2"/>
      <c r="U24" s="2">
        <v>256</v>
      </c>
      <c r="V24" s="2">
        <v>128</v>
      </c>
      <c r="W24" s="2">
        <v>64</v>
      </c>
      <c r="X24" s="2">
        <v>32</v>
      </c>
      <c r="Y24" s="2">
        <v>16</v>
      </c>
      <c r="Z24" s="2">
        <v>8</v>
      </c>
      <c r="AA24" s="2">
        <v>4</v>
      </c>
      <c r="AB24" s="2">
        <v>2</v>
      </c>
      <c r="AC24" s="2">
        <v>1</v>
      </c>
      <c r="AD24" s="50"/>
    </row>
    <row r="25" spans="1:30" ht="13.5" thickBot="1">
      <c r="A25" s="45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3"/>
      <c r="T25" s="49"/>
      <c r="U25" s="2">
        <f>IF(U23=1,U24,0)</f>
        <v>256</v>
      </c>
      <c r="V25" s="2">
        <f aca="true" t="shared" si="0" ref="V25:AC25">IF(V23=1,V24,0)</f>
        <v>128</v>
      </c>
      <c r="W25" s="2">
        <f t="shared" si="0"/>
        <v>0</v>
      </c>
      <c r="X25" s="2">
        <f t="shared" si="0"/>
        <v>0</v>
      </c>
      <c r="Y25" s="2">
        <f t="shared" si="0"/>
        <v>0</v>
      </c>
      <c r="Z25" s="2">
        <f t="shared" si="0"/>
        <v>0</v>
      </c>
      <c r="AA25" s="2">
        <f t="shared" si="0"/>
        <v>4</v>
      </c>
      <c r="AB25" s="2">
        <f t="shared" si="0"/>
        <v>0</v>
      </c>
      <c r="AC25" s="2">
        <f t="shared" si="0"/>
        <v>1</v>
      </c>
      <c r="AD25" s="50"/>
    </row>
    <row r="26" spans="1:30" ht="18">
      <c r="A26" s="3" t="s">
        <v>23</v>
      </c>
      <c r="B26" s="2"/>
      <c r="C26" s="2"/>
      <c r="D26" s="2"/>
      <c r="E26" s="6" t="s">
        <v>221</v>
      </c>
      <c r="F26" s="5"/>
      <c r="G26" s="2"/>
      <c r="H26" s="2"/>
      <c r="I26" s="2"/>
      <c r="J26" s="2"/>
      <c r="K26" s="2"/>
      <c r="L26" s="2"/>
      <c r="M26" s="2"/>
      <c r="T26" s="49"/>
      <c r="U26" s="2"/>
      <c r="V26" s="2"/>
      <c r="W26" s="2"/>
      <c r="X26" s="2"/>
      <c r="Y26" s="2"/>
      <c r="Z26" s="2"/>
      <c r="AA26" s="2"/>
      <c r="AB26" s="2"/>
      <c r="AC26" s="2"/>
      <c r="AD26" s="50"/>
    </row>
    <row r="27" spans="1:30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T27" s="49"/>
      <c r="U27" s="2">
        <f>SUM(U25:AC25)+12288</f>
        <v>12677</v>
      </c>
      <c r="V27" s="2">
        <f>U27/16</f>
        <v>792.3125</v>
      </c>
      <c r="W27" s="2">
        <f>U27-INT(V27)*16</f>
        <v>5</v>
      </c>
      <c r="X27" s="19">
        <f>IF(W27=10,"A",IF(W27=11,"B",IF(W27=12,"C",IF(W27=13,"D",IF(W27=14,"E",IF(W27=15,"F",W27))))))</f>
        <v>5</v>
      </c>
      <c r="Y27" s="2">
        <f>T(X27)</f>
      </c>
      <c r="Z27" s="2"/>
      <c r="AA27" s="2"/>
      <c r="AB27" s="2"/>
      <c r="AC27" s="2"/>
      <c r="AD27" s="50"/>
    </row>
    <row r="28" spans="1:30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T28" s="49"/>
      <c r="U28" s="2">
        <f>INT(V27)</f>
        <v>792</v>
      </c>
      <c r="V28" s="2">
        <f>U28/16</f>
        <v>49.5</v>
      </c>
      <c r="W28" s="2">
        <f>U28-INT(V28)*16</f>
        <v>8</v>
      </c>
      <c r="X28" s="19">
        <f>IF(W28=10,"A",IF(W28=11,"B",IF(W28=12,"C",IF(W28=13,"D",IF(W28=14,"E",IF(W28=15,"F",W28))))))</f>
        <v>8</v>
      </c>
      <c r="Y28" s="2"/>
      <c r="Z28" s="2"/>
      <c r="AA28" s="2"/>
      <c r="AB28" s="2"/>
      <c r="AC28" s="2"/>
      <c r="AD28" s="50"/>
    </row>
    <row r="29" spans="1:30" ht="13.5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T29" s="2"/>
      <c r="U29" s="2">
        <f>INT(V28)</f>
        <v>49</v>
      </c>
      <c r="V29" s="2">
        <f>U29/16</f>
        <v>3.0625</v>
      </c>
      <c r="W29" s="2">
        <f>U29-INT(V29)*16</f>
        <v>1</v>
      </c>
      <c r="X29" s="19">
        <f>IF(W29=10,"A",IF(W29=11,"B",IF(W29=12,"C",IF(W29=13,"D",IF(W29=14,"E",IF(W29=15,"F",W29))))))</f>
        <v>1</v>
      </c>
      <c r="Y29" s="2"/>
      <c r="Z29" s="2"/>
      <c r="AA29" s="2"/>
      <c r="AB29" s="2"/>
      <c r="AC29" s="2"/>
      <c r="AD29" s="50"/>
    </row>
    <row r="30" spans="1:30" ht="12.75">
      <c r="A30" s="34"/>
      <c r="B30" s="35"/>
      <c r="C30" s="123" t="s">
        <v>24</v>
      </c>
      <c r="D30" s="108" t="s">
        <v>213</v>
      </c>
      <c r="E30" s="35"/>
      <c r="F30" s="35"/>
      <c r="G30" s="35"/>
      <c r="H30" s="35"/>
      <c r="I30" s="35"/>
      <c r="J30" s="35"/>
      <c r="K30" s="35"/>
      <c r="L30" s="35"/>
      <c r="M30" s="37"/>
      <c r="T30" s="2"/>
      <c r="U30" s="2">
        <f>INT(V29)</f>
        <v>3</v>
      </c>
      <c r="V30" s="2">
        <f>U30/16</f>
        <v>0.1875</v>
      </c>
      <c r="W30" s="2">
        <f>U30-INT(V30)*16</f>
        <v>3</v>
      </c>
      <c r="X30" s="19">
        <f>IF(W30=10,"A",IF(W30=11,"B",IF(W30=12,"C",IF(W30=13,"D",IF(W30=14,"E",IF(W30=15,"F",W30))))))</f>
        <v>3</v>
      </c>
      <c r="Y30" s="2"/>
      <c r="Z30" s="2"/>
      <c r="AA30" s="2"/>
      <c r="AB30" s="2"/>
      <c r="AC30" s="2"/>
      <c r="AD30" s="50"/>
    </row>
    <row r="31" spans="1:30" ht="13.5" thickBot="1">
      <c r="A31" s="38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39"/>
      <c r="T31" s="2"/>
      <c r="U31" s="2"/>
      <c r="V31" s="2"/>
      <c r="W31" s="2"/>
      <c r="X31" s="2"/>
      <c r="Y31" s="2"/>
      <c r="Z31" s="2"/>
      <c r="AA31" s="2"/>
      <c r="AB31" s="2"/>
      <c r="AC31" s="2"/>
      <c r="AD31" s="50"/>
    </row>
    <row r="32" spans="1:30" ht="15.75">
      <c r="A32" s="38" t="s">
        <v>25</v>
      </c>
      <c r="B32" s="2"/>
      <c r="C32" s="2">
        <v>0.065536</v>
      </c>
      <c r="D32" s="2" t="s">
        <v>26</v>
      </c>
      <c r="E32" s="2" t="s">
        <v>27</v>
      </c>
      <c r="F32" s="58">
        <v>0</v>
      </c>
      <c r="G32" s="92" t="str">
        <f>IF(F32=0,"Resistance Pull-Up activées","Resistance Pull-Up désactivées")</f>
        <v>Resistance Pull-Up activées</v>
      </c>
      <c r="H32" s="2"/>
      <c r="I32" s="2"/>
      <c r="J32" s="2"/>
      <c r="K32" s="2"/>
      <c r="L32" s="2"/>
      <c r="M32" s="39"/>
      <c r="T32" s="2"/>
      <c r="U32" s="11" t="s">
        <v>203</v>
      </c>
      <c r="V32" s="2"/>
      <c r="W32" s="2"/>
      <c r="X32" s="2"/>
      <c r="Y32" s="20" t="str">
        <f>X31&amp;X30&amp;X29&amp;X28&amp;X27</f>
        <v>3185</v>
      </c>
      <c r="AA32" s="2"/>
      <c r="AB32" s="2"/>
      <c r="AC32" s="2"/>
      <c r="AD32" s="50"/>
    </row>
    <row r="33" spans="1:30" ht="15.75">
      <c r="A33" s="38" t="s">
        <v>28</v>
      </c>
      <c r="B33" s="2"/>
      <c r="C33" s="2"/>
      <c r="D33" s="2" t="s">
        <v>29</v>
      </c>
      <c r="E33" s="2" t="s">
        <v>30</v>
      </c>
      <c r="F33" s="59">
        <v>1</v>
      </c>
      <c r="G33" s="93" t="str">
        <f>IF(F33=0,"Intérruption sur front Descendant de GP2","Intérruption sur front Montant de GP2")</f>
        <v>Intérruption sur front Montant de GP2</v>
      </c>
      <c r="H33" s="2"/>
      <c r="I33" s="2"/>
      <c r="J33" s="2"/>
      <c r="K33" s="2"/>
      <c r="L33" s="2"/>
      <c r="M33" s="39"/>
      <c r="T33" s="2"/>
      <c r="U33" s="2" t="str">
        <f>U32&amp;Y32</f>
        <v>Define CONF_WORD = 0x3185</v>
      </c>
      <c r="V33" s="2"/>
      <c r="W33" s="2"/>
      <c r="X33" s="2"/>
      <c r="Y33" s="2"/>
      <c r="Z33" s="2"/>
      <c r="AA33" s="2"/>
      <c r="AB33" s="2"/>
      <c r="AC33" s="2"/>
      <c r="AD33" s="50"/>
    </row>
    <row r="34" spans="1:30" ht="15.75">
      <c r="A34" s="124">
        <v>0.000256</v>
      </c>
      <c r="B34" s="2" t="s">
        <v>31</v>
      </c>
      <c r="C34" s="2"/>
      <c r="D34" s="12" t="s">
        <v>32</v>
      </c>
      <c r="E34" s="2" t="s">
        <v>33</v>
      </c>
      <c r="F34" s="60">
        <v>0</v>
      </c>
      <c r="G34" s="93" t="str">
        <f>IF(F34=0,"Timer 0 synchronisé par Horloge-interne","Timer 0 synchronisé par Horloge externe GP2")</f>
        <v>Timer 0 synchronisé par Horloge-interne</v>
      </c>
      <c r="H34" s="2"/>
      <c r="I34" s="2"/>
      <c r="J34" s="2"/>
      <c r="K34" s="2"/>
      <c r="L34" s="2"/>
      <c r="M34" s="39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2"/>
    </row>
    <row r="35" spans="1:13" ht="15.75">
      <c r="A35" s="38" t="s">
        <v>34</v>
      </c>
      <c r="B35" s="2"/>
      <c r="C35" s="2"/>
      <c r="D35" s="2" t="s">
        <v>35</v>
      </c>
      <c r="E35" s="2" t="s">
        <v>36</v>
      </c>
      <c r="F35" s="60">
        <v>0</v>
      </c>
      <c r="G35" s="93" t="str">
        <f>IF(F35=0,"Timer 0 synchronisé sur Front-Montant GP2","Timer 0 synchronisé sur Front-Descendant GP2")</f>
        <v>Timer 0 synchronisé sur Front-Montant GP2</v>
      </c>
      <c r="H35" s="2"/>
      <c r="I35" s="2"/>
      <c r="J35" s="2"/>
      <c r="K35" s="2"/>
      <c r="L35" s="1" t="s">
        <v>37</v>
      </c>
      <c r="M35" s="39"/>
    </row>
    <row r="36" spans="1:16" ht="15.75">
      <c r="A36" s="38" t="s">
        <v>38</v>
      </c>
      <c r="B36" s="2"/>
      <c r="C36" s="2"/>
      <c r="D36" s="2" t="s">
        <v>39</v>
      </c>
      <c r="E36" s="2" t="s">
        <v>40</v>
      </c>
      <c r="F36" s="61">
        <v>0</v>
      </c>
      <c r="G36" s="93" t="str">
        <f>IF(F36=0,"Prédiviseur surTimer 0 ","Prédiviseur sur Watchdog")</f>
        <v>Prédiviseur surTimer 0 </v>
      </c>
      <c r="H36" s="2"/>
      <c r="I36" s="2"/>
      <c r="J36" s="13">
        <f>IF(F36=1,2,1)</f>
        <v>1</v>
      </c>
      <c r="K36" s="2"/>
      <c r="L36" s="2"/>
      <c r="M36" s="39"/>
      <c r="N36" s="2"/>
      <c r="O36" s="2"/>
      <c r="P36" s="2"/>
    </row>
    <row r="37" spans="1:16" ht="15.75">
      <c r="A37" s="125">
        <f>A34/H37</f>
        <v>0.004096</v>
      </c>
      <c r="B37" s="2" t="s">
        <v>31</v>
      </c>
      <c r="C37" s="2"/>
      <c r="D37" s="2" t="s">
        <v>41</v>
      </c>
      <c r="E37" s="2" t="s">
        <v>42</v>
      </c>
      <c r="F37" s="61">
        <v>0</v>
      </c>
      <c r="G37" s="94" t="s">
        <v>43</v>
      </c>
      <c r="H37" s="131">
        <f>(J36/J39/J38/J37)/2</f>
        <v>0.0625</v>
      </c>
      <c r="I37" s="2"/>
      <c r="J37" s="13">
        <f>IF(F37=0,1,16)</f>
        <v>1</v>
      </c>
      <c r="K37" s="2"/>
      <c r="L37" s="2"/>
      <c r="M37" s="39"/>
      <c r="N37" s="2"/>
      <c r="O37" s="2"/>
      <c r="P37" s="2"/>
    </row>
    <row r="38" spans="1:16" ht="15.75">
      <c r="A38" s="38"/>
      <c r="B38" s="2"/>
      <c r="C38" s="2"/>
      <c r="D38" s="2" t="s">
        <v>44</v>
      </c>
      <c r="E38" s="2" t="s">
        <v>45</v>
      </c>
      <c r="F38" s="61">
        <v>1</v>
      </c>
      <c r="G38" s="95" t="s">
        <v>46</v>
      </c>
      <c r="H38" s="14" t="s">
        <v>47</v>
      </c>
      <c r="I38" s="2"/>
      <c r="J38" s="13">
        <f>IF(F38=0,1,4)</f>
        <v>4</v>
      </c>
      <c r="K38" s="2"/>
      <c r="L38" s="4"/>
      <c r="M38" s="39"/>
      <c r="N38" s="2"/>
      <c r="O38" s="2"/>
      <c r="P38" s="2"/>
    </row>
    <row r="39" spans="1:16" ht="16.5" thickBot="1">
      <c r="A39" s="38"/>
      <c r="B39" s="2"/>
      <c r="C39" s="2"/>
      <c r="D39" s="2" t="s">
        <v>48</v>
      </c>
      <c r="E39" s="2" t="s">
        <v>49</v>
      </c>
      <c r="F39" s="62">
        <v>1</v>
      </c>
      <c r="G39" s="92"/>
      <c r="H39" s="132">
        <f>H37</f>
        <v>0.0625</v>
      </c>
      <c r="I39" s="10"/>
      <c r="J39" s="13">
        <f>IF(F39=0,1,2)</f>
        <v>2</v>
      </c>
      <c r="K39" s="2"/>
      <c r="L39" s="2"/>
      <c r="M39" s="39"/>
      <c r="N39" s="2"/>
      <c r="O39" s="2"/>
      <c r="P39" s="2"/>
    </row>
    <row r="40" spans="1:16" ht="15.75">
      <c r="A40" s="38"/>
      <c r="B40" s="2"/>
      <c r="C40" s="2"/>
      <c r="D40" s="2"/>
      <c r="E40" s="2"/>
      <c r="F40" s="15"/>
      <c r="G40" s="2"/>
      <c r="H40" s="2"/>
      <c r="I40" s="16"/>
      <c r="J40" s="2"/>
      <c r="K40" s="2"/>
      <c r="L40" s="2"/>
      <c r="M40" s="39"/>
      <c r="N40" s="2"/>
      <c r="O40" s="2"/>
      <c r="P40" s="2"/>
    </row>
    <row r="41" spans="1:16" ht="16.5" thickBot="1">
      <c r="A41" s="126"/>
      <c r="B41" s="42"/>
      <c r="C41" s="42"/>
      <c r="D41" s="112" t="s">
        <v>50</v>
      </c>
      <c r="E41" s="42"/>
      <c r="F41" s="127"/>
      <c r="G41" s="114" t="str">
        <f>"  b'"&amp;F32&amp;F33&amp;F34&amp;F35&amp;F36&amp;F37&amp;F38&amp;F39&amp;"'"</f>
        <v>  b'01000011'</v>
      </c>
      <c r="H41" s="112" t="s">
        <v>51</v>
      </c>
      <c r="I41" s="112" t="str">
        <f>"  %"&amp;F32&amp;F33&amp;F34&amp;F35&amp;F36&amp;F37&amp;F38&amp;F39</f>
        <v>  %01000011</v>
      </c>
      <c r="J41" s="42"/>
      <c r="K41" s="42"/>
      <c r="L41" s="42"/>
      <c r="M41" s="43"/>
      <c r="N41" s="2"/>
      <c r="O41" s="2"/>
      <c r="P41" s="2"/>
    </row>
    <row r="42" spans="1:16" ht="12.75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7"/>
      <c r="N42" s="2"/>
      <c r="O42" s="2"/>
      <c r="P42" s="2"/>
    </row>
    <row r="43" spans="1:16" ht="12.75">
      <c r="A43" s="40"/>
      <c r="B43" s="2"/>
      <c r="C43" s="10" t="s">
        <v>52</v>
      </c>
      <c r="D43" s="5" t="s">
        <v>207</v>
      </c>
      <c r="E43" s="2"/>
      <c r="F43" s="2"/>
      <c r="G43" s="2"/>
      <c r="H43" s="2"/>
      <c r="I43" s="2"/>
      <c r="J43" s="2"/>
      <c r="K43" s="2"/>
      <c r="L43" s="2"/>
      <c r="M43" s="39"/>
      <c r="N43" s="2"/>
      <c r="O43" s="2"/>
      <c r="P43" s="2"/>
    </row>
    <row r="44" spans="1:16" ht="13.5" thickBot="1">
      <c r="A44" s="3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39"/>
      <c r="N44" s="2"/>
      <c r="O44" s="2"/>
      <c r="P44" s="2"/>
    </row>
    <row r="45" spans="1:16" ht="15.75">
      <c r="A45" s="38"/>
      <c r="B45" s="2"/>
      <c r="C45" s="2"/>
      <c r="D45" s="2" t="s">
        <v>53</v>
      </c>
      <c r="E45" s="2"/>
      <c r="F45" s="133">
        <v>0</v>
      </c>
      <c r="G45" s="140" t="s">
        <v>54</v>
      </c>
      <c r="H45" s="2"/>
      <c r="I45" s="2"/>
      <c r="J45" s="2"/>
      <c r="K45" s="2"/>
      <c r="L45" s="2"/>
      <c r="M45" s="39"/>
      <c r="N45" s="2"/>
      <c r="O45" s="2"/>
      <c r="P45" s="2"/>
    </row>
    <row r="46" spans="1:16" ht="15.75">
      <c r="A46" s="38"/>
      <c r="B46" s="2"/>
      <c r="C46" s="2"/>
      <c r="D46" s="2" t="s">
        <v>29</v>
      </c>
      <c r="E46" s="2"/>
      <c r="F46" s="135">
        <v>0</v>
      </c>
      <c r="G46" s="140" t="s">
        <v>54</v>
      </c>
      <c r="H46" s="2"/>
      <c r="I46" s="2"/>
      <c r="J46" s="2"/>
      <c r="K46" s="2"/>
      <c r="L46" s="2"/>
      <c r="M46" s="39"/>
      <c r="N46" s="2"/>
      <c r="O46" s="2"/>
      <c r="P46" s="2"/>
    </row>
    <row r="47" spans="1:16" ht="15.75">
      <c r="A47" s="38"/>
      <c r="B47" s="2"/>
      <c r="C47" s="2" t="s">
        <v>55</v>
      </c>
      <c r="D47" s="2" t="s">
        <v>32</v>
      </c>
      <c r="E47" s="2" t="s">
        <v>56</v>
      </c>
      <c r="F47" s="59">
        <v>1</v>
      </c>
      <c r="G47" s="93" t="str">
        <f>IF(F47=1," GP5 en entree "," GP5 en sortie")</f>
        <v> GP5 en entree </v>
      </c>
      <c r="H47" s="2"/>
      <c r="I47" s="2"/>
      <c r="J47" s="2"/>
      <c r="K47" s="2"/>
      <c r="L47" s="2"/>
      <c r="M47" s="39"/>
      <c r="N47" s="2"/>
      <c r="O47" s="2"/>
      <c r="P47" s="2"/>
    </row>
    <row r="48" spans="1:16" ht="15.75">
      <c r="A48" s="38"/>
      <c r="B48" s="2"/>
      <c r="C48" s="2" t="s">
        <v>57</v>
      </c>
      <c r="D48" s="2" t="s">
        <v>35</v>
      </c>
      <c r="E48" s="2" t="s">
        <v>58</v>
      </c>
      <c r="F48" s="59">
        <v>0</v>
      </c>
      <c r="G48" s="93" t="str">
        <f>IF(F48=1," GP4 en entree "," GP4 en sortie")</f>
        <v> GP4 en sortie</v>
      </c>
      <c r="H48" s="2"/>
      <c r="I48" s="2"/>
      <c r="J48" s="2"/>
      <c r="K48" s="2"/>
      <c r="L48" s="2"/>
      <c r="M48" s="39"/>
      <c r="N48" s="2"/>
      <c r="O48" s="2"/>
      <c r="P48" s="2"/>
    </row>
    <row r="49" spans="1:16" ht="15.75">
      <c r="A49" s="38"/>
      <c r="B49" s="2"/>
      <c r="C49" s="4" t="s">
        <v>59</v>
      </c>
      <c r="D49" s="2" t="s">
        <v>39</v>
      </c>
      <c r="E49" s="2"/>
      <c r="F49" s="135">
        <v>1</v>
      </c>
      <c r="G49" s="141" t="s">
        <v>60</v>
      </c>
      <c r="H49" s="2"/>
      <c r="I49" s="2"/>
      <c r="J49" s="2"/>
      <c r="K49" s="2"/>
      <c r="L49" s="2"/>
      <c r="M49" s="39"/>
      <c r="N49" s="2"/>
      <c r="O49" s="2"/>
      <c r="P49" s="2"/>
    </row>
    <row r="50" spans="1:16" ht="15.75">
      <c r="A50" s="38"/>
      <c r="B50" s="2"/>
      <c r="C50" s="2" t="s">
        <v>61</v>
      </c>
      <c r="D50" s="2" t="s">
        <v>41</v>
      </c>
      <c r="E50" s="2" t="s">
        <v>62</v>
      </c>
      <c r="F50" s="63">
        <v>0</v>
      </c>
      <c r="G50" s="93" t="str">
        <f>IF(F50=1," GP2 en entree "," GP2 en sortie")</f>
        <v> GP2 en sortie</v>
      </c>
      <c r="H50" s="2"/>
      <c r="I50" s="2"/>
      <c r="J50" s="2"/>
      <c r="K50" s="2"/>
      <c r="L50" s="2"/>
      <c r="M50" s="39"/>
      <c r="N50" s="2"/>
      <c r="O50" s="2"/>
      <c r="P50" s="2"/>
    </row>
    <row r="51" spans="1:16" ht="15.75">
      <c r="A51" s="38"/>
      <c r="B51" s="2"/>
      <c r="C51" s="2" t="s">
        <v>63</v>
      </c>
      <c r="D51" s="2" t="s">
        <v>44</v>
      </c>
      <c r="E51" s="2" t="s">
        <v>64</v>
      </c>
      <c r="F51" s="63">
        <v>0</v>
      </c>
      <c r="G51" s="93" t="str">
        <f>IF(F51=1," GP1 en entree "," GP1 en sortie")</f>
        <v> GP1 en sortie</v>
      </c>
      <c r="H51" s="2"/>
      <c r="I51" s="2"/>
      <c r="J51" s="2"/>
      <c r="K51" s="2"/>
      <c r="L51" s="2"/>
      <c r="M51" s="39"/>
      <c r="N51" s="2"/>
      <c r="O51" s="2"/>
      <c r="P51" s="2"/>
    </row>
    <row r="52" spans="1:16" ht="16.5" thickBot="1">
      <c r="A52" s="38"/>
      <c r="B52" s="2"/>
      <c r="C52" s="2" t="s">
        <v>65</v>
      </c>
      <c r="D52" s="2" t="s">
        <v>48</v>
      </c>
      <c r="E52" s="2" t="s">
        <v>66</v>
      </c>
      <c r="F52" s="64">
        <v>0</v>
      </c>
      <c r="G52" s="93" t="str">
        <f>IF(F52=1," GP0 en entree "," GP0 en sortie")</f>
        <v> GP0 en sortie</v>
      </c>
      <c r="H52" s="2"/>
      <c r="I52" s="2"/>
      <c r="J52" s="2"/>
      <c r="K52" s="2"/>
      <c r="L52" s="2"/>
      <c r="M52" s="39"/>
      <c r="N52" s="2"/>
      <c r="O52" s="2"/>
      <c r="P52" s="2"/>
    </row>
    <row r="53" spans="1:16" ht="12.75">
      <c r="A53" s="38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9"/>
      <c r="N53" s="2"/>
      <c r="O53" s="2"/>
      <c r="P53" s="2"/>
    </row>
    <row r="54" spans="1:16" ht="16.5" thickBot="1">
      <c r="A54" s="41"/>
      <c r="B54" s="42"/>
      <c r="C54" s="42"/>
      <c r="D54" s="112" t="s">
        <v>67</v>
      </c>
      <c r="E54" s="42"/>
      <c r="F54" s="42"/>
      <c r="G54" s="114" t="str">
        <f>"  b'"&amp;F45&amp;F46&amp;F47&amp;F48&amp;F49&amp;F50&amp;F51&amp;F52&amp;"'"</f>
        <v>  b'00101000'</v>
      </c>
      <c r="H54" s="115" t="s">
        <v>68</v>
      </c>
      <c r="I54" s="112" t="str">
        <f>"  %"&amp;F45&amp;F46&amp;F47&amp;F48&amp;F49&amp;F50&amp;F51&amp;F52</f>
        <v>  %00101000</v>
      </c>
      <c r="J54" s="42"/>
      <c r="K54" s="42"/>
      <c r="L54" s="42"/>
      <c r="M54" s="43"/>
      <c r="N54" s="2"/>
      <c r="O54" s="2"/>
      <c r="P54" s="2"/>
    </row>
    <row r="55" spans="1:16" ht="15.75">
      <c r="A55" s="34"/>
      <c r="B55" s="35"/>
      <c r="C55" s="35"/>
      <c r="D55" s="108"/>
      <c r="E55" s="35"/>
      <c r="F55" s="35"/>
      <c r="G55" s="109"/>
      <c r="H55" s="35"/>
      <c r="I55" s="35"/>
      <c r="J55" s="35"/>
      <c r="K55" s="35"/>
      <c r="L55" s="35"/>
      <c r="M55" s="37"/>
      <c r="N55" s="2"/>
      <c r="O55" s="2"/>
      <c r="P55" s="2"/>
    </row>
    <row r="56" spans="1:16" ht="12.75">
      <c r="A56" s="38"/>
      <c r="B56" s="2"/>
      <c r="C56" s="10" t="s">
        <v>69</v>
      </c>
      <c r="D56" s="5" t="s">
        <v>208</v>
      </c>
      <c r="E56" s="2"/>
      <c r="F56" s="2"/>
      <c r="G56" s="2"/>
      <c r="H56" s="18" t="s">
        <v>70</v>
      </c>
      <c r="I56" s="18"/>
      <c r="J56" s="18"/>
      <c r="K56" s="18"/>
      <c r="L56" s="18"/>
      <c r="M56" s="117"/>
      <c r="N56" s="2"/>
      <c r="O56" s="2"/>
      <c r="P56" s="2"/>
    </row>
    <row r="57" spans="1:16" ht="13.5" thickBot="1">
      <c r="A57" s="3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9"/>
      <c r="N57" s="2"/>
      <c r="O57" s="2"/>
      <c r="P57" s="2"/>
    </row>
    <row r="58" spans="1:16" ht="15.75">
      <c r="A58" s="38"/>
      <c r="B58" s="2"/>
      <c r="C58" s="2"/>
      <c r="D58" s="2" t="s">
        <v>53</v>
      </c>
      <c r="E58" s="2"/>
      <c r="F58" s="133">
        <v>0</v>
      </c>
      <c r="G58" s="142" t="s">
        <v>54</v>
      </c>
      <c r="H58" s="2"/>
      <c r="I58" s="2"/>
      <c r="J58" s="2"/>
      <c r="K58" s="2"/>
      <c r="L58" s="2"/>
      <c r="M58" s="39"/>
      <c r="N58" s="2"/>
      <c r="O58" s="2"/>
      <c r="P58" s="2"/>
    </row>
    <row r="59" spans="1:16" ht="15.75">
      <c r="A59" s="38"/>
      <c r="B59" s="2"/>
      <c r="C59" s="2"/>
      <c r="D59" s="2" t="s">
        <v>29</v>
      </c>
      <c r="E59" s="2"/>
      <c r="F59" s="135">
        <v>0</v>
      </c>
      <c r="G59" s="142" t="s">
        <v>54</v>
      </c>
      <c r="H59" s="2"/>
      <c r="I59" s="2"/>
      <c r="J59" s="2"/>
      <c r="K59" s="2"/>
      <c r="L59" s="2"/>
      <c r="M59" s="39"/>
      <c r="N59" s="2"/>
      <c r="O59" s="2"/>
      <c r="P59" s="2"/>
    </row>
    <row r="60" spans="1:16" ht="15.75">
      <c r="A60" s="38"/>
      <c r="B60" s="2"/>
      <c r="C60" s="2"/>
      <c r="D60" s="2" t="s">
        <v>32</v>
      </c>
      <c r="E60" s="2" t="s">
        <v>56</v>
      </c>
      <c r="F60" s="87">
        <v>0</v>
      </c>
      <c r="G60" s="93" t="str">
        <f>IF(F60=0,"Résistance non cablé sur GP5","Résistance  cablé sur GP5")</f>
        <v>Résistance non cablé sur GP5</v>
      </c>
      <c r="H60" s="2"/>
      <c r="I60" s="2"/>
      <c r="J60" s="2"/>
      <c r="K60" s="2"/>
      <c r="L60" s="2"/>
      <c r="M60" s="39"/>
      <c r="N60" s="2"/>
      <c r="O60" s="2"/>
      <c r="P60" s="2"/>
    </row>
    <row r="61" spans="1:16" ht="15.75">
      <c r="A61" s="38"/>
      <c r="B61" s="2"/>
      <c r="C61" s="2"/>
      <c r="D61" s="2" t="s">
        <v>35</v>
      </c>
      <c r="E61" s="2" t="s">
        <v>58</v>
      </c>
      <c r="F61" s="87">
        <v>0</v>
      </c>
      <c r="G61" s="93" t="str">
        <f>IF(F61=0,"Résistance non cablé sur GP4","Résistance  cablé sur GP4")</f>
        <v>Résistance non cablé sur GP4</v>
      </c>
      <c r="H61" s="2"/>
      <c r="I61" s="2"/>
      <c r="J61" s="2"/>
      <c r="K61" s="2"/>
      <c r="L61" s="2"/>
      <c r="M61" s="39"/>
      <c r="N61" s="2"/>
      <c r="O61" s="2"/>
      <c r="P61" s="2"/>
    </row>
    <row r="62" spans="1:16" ht="15.75">
      <c r="A62" s="38"/>
      <c r="B62" s="2"/>
      <c r="C62" s="2"/>
      <c r="D62" s="2" t="s">
        <v>39</v>
      </c>
      <c r="E62" s="2"/>
      <c r="F62" s="135">
        <v>0</v>
      </c>
      <c r="G62" s="142" t="s">
        <v>54</v>
      </c>
      <c r="H62" s="2"/>
      <c r="I62" s="2"/>
      <c r="J62" s="2"/>
      <c r="K62" s="2"/>
      <c r="L62" s="2"/>
      <c r="M62" s="39"/>
      <c r="N62" s="2"/>
      <c r="O62" s="2"/>
      <c r="P62" s="2"/>
    </row>
    <row r="63" spans="1:16" ht="15.75">
      <c r="A63" s="38"/>
      <c r="B63" s="2"/>
      <c r="C63" s="2"/>
      <c r="D63" s="2" t="s">
        <v>41</v>
      </c>
      <c r="E63" s="2" t="s">
        <v>62</v>
      </c>
      <c r="F63" s="88">
        <v>0</v>
      </c>
      <c r="G63" s="93" t="str">
        <f>IF(F63=0,"Résistance non cablé sur GP2","Résistance  cablé sur GP2")</f>
        <v>Résistance non cablé sur GP2</v>
      </c>
      <c r="H63" s="2"/>
      <c r="I63" s="2"/>
      <c r="J63" s="2"/>
      <c r="K63" s="2"/>
      <c r="L63" s="2"/>
      <c r="M63" s="39"/>
      <c r="N63" s="2"/>
      <c r="O63" s="2"/>
      <c r="P63" s="2"/>
    </row>
    <row r="64" spans="1:16" ht="15.75">
      <c r="A64" s="38"/>
      <c r="B64" s="2"/>
      <c r="C64" s="2"/>
      <c r="D64" s="2" t="s">
        <v>44</v>
      </c>
      <c r="E64" s="2" t="s">
        <v>64</v>
      </c>
      <c r="F64" s="88">
        <v>0</v>
      </c>
      <c r="G64" s="93" t="str">
        <f>IF(F64=0,"Résistance non cablé sur GP1","Résistance  cablé sur GP1")</f>
        <v>Résistance non cablé sur GP1</v>
      </c>
      <c r="H64" s="2"/>
      <c r="I64" s="2"/>
      <c r="J64" s="2"/>
      <c r="K64" s="2"/>
      <c r="L64" s="2"/>
      <c r="M64" s="39"/>
      <c r="N64" s="2"/>
      <c r="O64" s="2"/>
      <c r="P64" s="2"/>
    </row>
    <row r="65" spans="1:16" ht="16.5" thickBot="1">
      <c r="A65" s="38"/>
      <c r="B65" s="2"/>
      <c r="C65" s="2"/>
      <c r="D65" s="2" t="s">
        <v>48</v>
      </c>
      <c r="E65" s="2" t="s">
        <v>66</v>
      </c>
      <c r="F65" s="89">
        <v>0</v>
      </c>
      <c r="G65" s="93" t="str">
        <f>IF(F65=0,"Résistance non cablé sur GP0","Résistance  cablé sur GP0")</f>
        <v>Résistance non cablé sur GP0</v>
      </c>
      <c r="H65" s="2"/>
      <c r="I65" s="2"/>
      <c r="J65" s="2"/>
      <c r="K65" s="2"/>
      <c r="L65" s="2"/>
      <c r="M65" s="39"/>
      <c r="N65" s="2"/>
      <c r="O65" s="2"/>
      <c r="P65" s="2"/>
    </row>
    <row r="66" spans="1:16" ht="12.75">
      <c r="A66" s="38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9"/>
      <c r="N66" s="2"/>
      <c r="O66" s="2"/>
      <c r="P66" s="2"/>
    </row>
    <row r="67" spans="1:16" ht="16.5" thickBot="1">
      <c r="A67" s="41"/>
      <c r="B67" s="42"/>
      <c r="C67" s="42"/>
      <c r="D67" s="112" t="s">
        <v>71</v>
      </c>
      <c r="E67" s="42"/>
      <c r="F67" s="42"/>
      <c r="G67" s="114" t="str">
        <f>"  b'"&amp;F58&amp;F59&amp;F60&amp;F61&amp;F62&amp;F63&amp;F64&amp;F65&amp;"'"</f>
        <v>  b'00000000'</v>
      </c>
      <c r="H67" s="115" t="s">
        <v>72</v>
      </c>
      <c r="I67" s="112" t="str">
        <f>"  %"&amp;F58&amp;F59&amp;F60&amp;F61&amp;F62&amp;F63&amp;F64&amp;F65</f>
        <v>  %00000000</v>
      </c>
      <c r="J67" s="42"/>
      <c r="K67" s="42"/>
      <c r="L67" s="42"/>
      <c r="M67" s="43"/>
      <c r="N67" s="2"/>
      <c r="O67" s="2"/>
      <c r="P67" s="2"/>
    </row>
    <row r="68" spans="1:16" ht="15.75">
      <c r="A68" s="34"/>
      <c r="B68" s="35"/>
      <c r="C68" s="35"/>
      <c r="D68" s="108" t="s">
        <v>212</v>
      </c>
      <c r="E68" s="35"/>
      <c r="F68" s="35"/>
      <c r="G68" s="109"/>
      <c r="H68" s="35"/>
      <c r="I68" s="35"/>
      <c r="J68" s="35"/>
      <c r="K68" s="35"/>
      <c r="L68" s="35"/>
      <c r="M68" s="37"/>
      <c r="N68" s="2"/>
      <c r="O68" s="2"/>
      <c r="P68" s="2"/>
    </row>
    <row r="69" spans="1:16" ht="16.5" thickBot="1">
      <c r="A69" s="38"/>
      <c r="B69" s="2"/>
      <c r="C69" s="2"/>
      <c r="D69" s="5"/>
      <c r="E69" s="2"/>
      <c r="F69" s="2"/>
      <c r="G69" s="3"/>
      <c r="H69" s="2"/>
      <c r="I69" s="2"/>
      <c r="J69" s="2"/>
      <c r="K69" s="2"/>
      <c r="L69" s="2"/>
      <c r="M69" s="39"/>
      <c r="N69" s="2"/>
      <c r="O69" s="2"/>
      <c r="P69" s="2"/>
    </row>
    <row r="70" spans="1:16" ht="16.5" thickBot="1">
      <c r="A70" s="40"/>
      <c r="B70" s="2"/>
      <c r="C70" s="10" t="s">
        <v>73</v>
      </c>
      <c r="D70" s="2"/>
      <c r="E70" s="11" t="s">
        <v>74</v>
      </c>
      <c r="F70" s="65">
        <v>1</v>
      </c>
      <c r="G70" s="96" t="str">
        <f>IF(F70=F74,"11111100",IF(F70=F73,"00000000",IF(F70=F72,"10000000","erreur")))</f>
        <v>10000000</v>
      </c>
      <c r="H70" s="2"/>
      <c r="I70" s="2"/>
      <c r="J70" s="2"/>
      <c r="K70" s="2"/>
      <c r="L70" s="2"/>
      <c r="M70" s="39"/>
      <c r="N70" s="2"/>
      <c r="O70" s="2"/>
      <c r="P70" s="2"/>
    </row>
    <row r="71" spans="1:16" ht="12.75">
      <c r="A71" s="38"/>
      <c r="B71" s="2"/>
      <c r="C71" s="2"/>
      <c r="D71" s="2"/>
      <c r="E71" s="19"/>
      <c r="F71" s="2"/>
      <c r="G71" s="2"/>
      <c r="H71" s="2"/>
      <c r="I71" s="2"/>
      <c r="J71" s="2"/>
      <c r="K71" s="2"/>
      <c r="L71" s="2"/>
      <c r="M71" s="39"/>
      <c r="N71" s="2"/>
      <c r="O71" s="2"/>
      <c r="P71" s="2"/>
    </row>
    <row r="72" spans="1:16" ht="12.75">
      <c r="A72" s="38"/>
      <c r="B72" s="2"/>
      <c r="C72" s="2"/>
      <c r="D72" s="2"/>
      <c r="E72" s="5" t="s">
        <v>75</v>
      </c>
      <c r="F72" s="10">
        <v>1</v>
      </c>
      <c r="G72" s="2"/>
      <c r="H72" s="2"/>
      <c r="I72" s="2"/>
      <c r="J72" s="2"/>
      <c r="K72" s="2"/>
      <c r="L72" s="2"/>
      <c r="M72" s="39"/>
      <c r="N72" s="2"/>
      <c r="O72" s="2"/>
      <c r="P72" s="2"/>
    </row>
    <row r="73" spans="1:16" ht="12.75">
      <c r="A73" s="38"/>
      <c r="B73" s="2"/>
      <c r="C73" s="2"/>
      <c r="D73" s="2"/>
      <c r="E73" s="5" t="s">
        <v>76</v>
      </c>
      <c r="F73" s="10">
        <v>2</v>
      </c>
      <c r="G73" s="2"/>
      <c r="H73" s="2"/>
      <c r="I73" s="2"/>
      <c r="J73" s="2"/>
      <c r="K73" s="2"/>
      <c r="L73" s="2"/>
      <c r="M73" s="39"/>
      <c r="N73" s="2"/>
      <c r="O73" s="2"/>
      <c r="P73" s="2"/>
    </row>
    <row r="74" spans="1:16" ht="12.75">
      <c r="A74" s="38"/>
      <c r="B74" s="2"/>
      <c r="C74" s="2"/>
      <c r="D74" s="2"/>
      <c r="E74" s="5" t="s">
        <v>77</v>
      </c>
      <c r="F74" s="10">
        <v>3</v>
      </c>
      <c r="G74" s="2"/>
      <c r="H74" s="2"/>
      <c r="I74" s="2"/>
      <c r="J74" s="2"/>
      <c r="K74" s="2"/>
      <c r="L74" s="2"/>
      <c r="M74" s="39"/>
      <c r="N74" s="2"/>
      <c r="O74" s="2"/>
      <c r="P74" s="2"/>
    </row>
    <row r="75" spans="1:16" ht="12.75">
      <c r="A75" s="38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9"/>
      <c r="N75" s="2"/>
      <c r="O75" s="2"/>
      <c r="P75" s="2"/>
    </row>
    <row r="76" spans="1:16" ht="16.5" thickBot="1">
      <c r="A76" s="41"/>
      <c r="B76" s="42"/>
      <c r="C76" s="42"/>
      <c r="D76" s="112" t="s">
        <v>78</v>
      </c>
      <c r="E76" s="42"/>
      <c r="F76" s="42"/>
      <c r="G76" s="114" t="str">
        <f>"  b'"&amp;G70&amp;"'"</f>
        <v>  b'10000000'</v>
      </c>
      <c r="H76" s="115" t="s">
        <v>79</v>
      </c>
      <c r="I76" s="112" t="str">
        <f>"  %"&amp;G70</f>
        <v>  %10000000</v>
      </c>
      <c r="J76" s="42"/>
      <c r="K76" s="42"/>
      <c r="L76" s="42"/>
      <c r="M76" s="43"/>
      <c r="N76" s="2"/>
      <c r="O76" s="2"/>
      <c r="P76" s="2"/>
    </row>
    <row r="77" spans="1:16" ht="15.75">
      <c r="A77" s="44"/>
      <c r="B77" s="35"/>
      <c r="C77" s="35"/>
      <c r="D77" s="35"/>
      <c r="E77" s="35"/>
      <c r="F77" s="118"/>
      <c r="G77" s="35"/>
      <c r="H77" s="35"/>
      <c r="I77" s="35"/>
      <c r="J77" s="35"/>
      <c r="K77" s="35"/>
      <c r="L77" s="35"/>
      <c r="M77" s="37"/>
      <c r="N77" s="2"/>
      <c r="O77" s="2"/>
      <c r="P77" s="2"/>
    </row>
    <row r="78" spans="1:16" ht="12.75">
      <c r="A78" s="38"/>
      <c r="B78" s="2"/>
      <c r="C78" s="5" t="s">
        <v>80</v>
      </c>
      <c r="D78" s="5" t="s">
        <v>209</v>
      </c>
      <c r="E78" s="2"/>
      <c r="F78" s="2"/>
      <c r="G78" s="2"/>
      <c r="H78" s="2"/>
      <c r="I78" s="2"/>
      <c r="J78" s="2"/>
      <c r="K78" s="2"/>
      <c r="L78" s="2"/>
      <c r="M78" s="39"/>
      <c r="N78" s="2"/>
      <c r="O78" s="2"/>
      <c r="P78" s="2"/>
    </row>
    <row r="79" spans="1:16" ht="13.5" thickBot="1">
      <c r="A79" s="38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39"/>
      <c r="N79" s="2"/>
      <c r="O79" s="2"/>
      <c r="P79" s="2"/>
    </row>
    <row r="80" spans="1:16" ht="15.75">
      <c r="A80" s="38"/>
      <c r="B80" s="2"/>
      <c r="C80" s="2"/>
      <c r="D80" s="2" t="s">
        <v>53</v>
      </c>
      <c r="E80" s="2" t="s">
        <v>81</v>
      </c>
      <c r="F80" s="66">
        <v>0</v>
      </c>
      <c r="G80" s="93" t="str">
        <f>IF(F80=0,"Interruption désactivées","Interruption activées")</f>
        <v>Interruption désactivées</v>
      </c>
      <c r="H80" s="2"/>
      <c r="I80" s="2"/>
      <c r="J80" s="2"/>
      <c r="K80" s="2"/>
      <c r="L80" s="2"/>
      <c r="M80" s="39"/>
      <c r="N80" s="2"/>
      <c r="O80" s="2"/>
      <c r="P80" s="2"/>
    </row>
    <row r="81" spans="1:16" ht="15.75">
      <c r="A81" s="38"/>
      <c r="B81" s="2"/>
      <c r="C81" s="2"/>
      <c r="D81" s="2" t="s">
        <v>29</v>
      </c>
      <c r="E81" s="2" t="s">
        <v>82</v>
      </c>
      <c r="F81" s="67">
        <v>0</v>
      </c>
      <c r="G81" s="93" t="str">
        <f>IF(F81=0,"Interruption PERIPHERIQUES Désactivées","InterruptionPERIPHERIQUES activées")</f>
        <v>Interruption PERIPHERIQUES Désactivées</v>
      </c>
      <c r="H81" s="2"/>
      <c r="I81" s="2"/>
      <c r="J81" s="2"/>
      <c r="K81" s="2"/>
      <c r="L81" s="2"/>
      <c r="M81" s="39"/>
      <c r="N81" s="2"/>
      <c r="O81" s="2"/>
      <c r="P81" s="2"/>
    </row>
    <row r="82" spans="1:16" ht="15.75">
      <c r="A82" s="38"/>
      <c r="B82" s="2"/>
      <c r="C82" s="2"/>
      <c r="D82" s="2" t="s">
        <v>32</v>
      </c>
      <c r="E82" s="2" t="s">
        <v>83</v>
      </c>
      <c r="F82" s="59">
        <v>0</v>
      </c>
      <c r="G82" s="93" t="str">
        <f>IF(F82=0,"Interruption TMR0 Désactivées","Interruption TMR0 activées")</f>
        <v>Interruption TMR0 Désactivées</v>
      </c>
      <c r="H82" s="2"/>
      <c r="I82" s="2"/>
      <c r="J82" s="2"/>
      <c r="K82" s="2"/>
      <c r="L82" s="2"/>
      <c r="M82" s="39"/>
      <c r="N82" s="2"/>
      <c r="O82" s="2"/>
      <c r="P82" s="2"/>
    </row>
    <row r="83" spans="1:16" ht="15.75">
      <c r="A83" s="38"/>
      <c r="B83" s="2"/>
      <c r="C83" s="2"/>
      <c r="D83" s="2" t="s">
        <v>35</v>
      </c>
      <c r="E83" s="2" t="s">
        <v>84</v>
      </c>
      <c r="F83" s="59">
        <v>0</v>
      </c>
      <c r="G83" s="93" t="str">
        <f>IF(F83=0,"Interruption GP2 /INTDésactivées","Interruption GP2/INT activées")</f>
        <v>Interruption GP2 /INTDésactivées</v>
      </c>
      <c r="H83" s="2"/>
      <c r="I83" s="2"/>
      <c r="J83" s="2"/>
      <c r="K83" s="2"/>
      <c r="L83" s="2"/>
      <c r="M83" s="39"/>
      <c r="N83" s="2"/>
      <c r="O83" s="2"/>
      <c r="P83" s="2"/>
    </row>
    <row r="84" spans="1:16" ht="15.75">
      <c r="A84" s="38"/>
      <c r="B84" s="2"/>
      <c r="C84" s="2"/>
      <c r="D84" s="2" t="s">
        <v>39</v>
      </c>
      <c r="E84" s="2" t="s">
        <v>85</v>
      </c>
      <c r="F84" s="61">
        <v>0</v>
      </c>
      <c r="G84" s="93" t="str">
        <f>IF(F84=0,"Interruption GPIO Désactivées","Interruption GPIO activées")</f>
        <v>Interruption GPIO Désactivées</v>
      </c>
      <c r="H84" s="2"/>
      <c r="I84" s="2"/>
      <c r="J84" s="2"/>
      <c r="K84" s="2"/>
      <c r="L84" s="2"/>
      <c r="M84" s="39"/>
      <c r="N84" s="2"/>
      <c r="O84" s="2"/>
      <c r="P84" s="2"/>
    </row>
    <row r="85" spans="1:16" ht="15.75">
      <c r="A85" s="38"/>
      <c r="B85" s="2"/>
      <c r="C85" s="2"/>
      <c r="D85" s="2" t="s">
        <v>41</v>
      </c>
      <c r="E85" s="2" t="s">
        <v>86</v>
      </c>
      <c r="F85" s="68">
        <v>0</v>
      </c>
      <c r="G85" s="4" t="s">
        <v>87</v>
      </c>
      <c r="H85" s="2"/>
      <c r="I85" s="2"/>
      <c r="J85" s="2" t="s">
        <v>88</v>
      </c>
      <c r="K85" s="2"/>
      <c r="L85" s="2"/>
      <c r="M85" s="39"/>
      <c r="N85" s="2"/>
      <c r="O85" s="2"/>
      <c r="P85" s="2"/>
    </row>
    <row r="86" spans="1:16" ht="15.75">
      <c r="A86" s="38"/>
      <c r="B86" s="2"/>
      <c r="C86" s="2"/>
      <c r="D86" s="2" t="s">
        <v>44</v>
      </c>
      <c r="E86" s="2" t="s">
        <v>89</v>
      </c>
      <c r="F86" s="68">
        <v>0</v>
      </c>
      <c r="G86" s="4" t="s">
        <v>90</v>
      </c>
      <c r="H86" s="2"/>
      <c r="I86" s="2"/>
      <c r="J86" s="2" t="s">
        <v>88</v>
      </c>
      <c r="K86" s="2"/>
      <c r="L86" s="2"/>
      <c r="M86" s="39"/>
      <c r="N86" s="2"/>
      <c r="O86" s="2"/>
      <c r="P86" s="2"/>
    </row>
    <row r="87" spans="1:16" ht="16.5" thickBot="1">
      <c r="A87" s="38"/>
      <c r="B87" s="2"/>
      <c r="C87" s="2"/>
      <c r="D87" s="2" t="s">
        <v>48</v>
      </c>
      <c r="E87" s="2" t="s">
        <v>91</v>
      </c>
      <c r="F87" s="69">
        <v>0</v>
      </c>
      <c r="G87" s="4" t="s">
        <v>92</v>
      </c>
      <c r="H87" s="2"/>
      <c r="I87" s="2"/>
      <c r="J87" s="2" t="s">
        <v>88</v>
      </c>
      <c r="K87" s="2"/>
      <c r="L87" s="2"/>
      <c r="M87" s="39"/>
      <c r="N87" s="2"/>
      <c r="O87" s="2"/>
      <c r="P87" s="2"/>
    </row>
    <row r="88" spans="1:16" ht="12.75">
      <c r="A88" s="38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39"/>
      <c r="N88" s="2"/>
      <c r="O88" s="2"/>
      <c r="P88" s="2"/>
    </row>
    <row r="89" spans="1:16" ht="16.5" thickBot="1">
      <c r="A89" s="41"/>
      <c r="B89" s="42"/>
      <c r="C89" s="42"/>
      <c r="D89" s="112" t="s">
        <v>93</v>
      </c>
      <c r="E89" s="42"/>
      <c r="F89" s="42"/>
      <c r="G89" s="114" t="str">
        <f>"  b'"&amp;F80&amp;F81&amp;F82&amp;F83&amp;F84&amp;F85&amp;F86&amp;F87&amp;"'"</f>
        <v>  b'00000000'</v>
      </c>
      <c r="H89" s="115" t="s">
        <v>94</v>
      </c>
      <c r="I89" s="119" t="str">
        <f>"  %"&amp;F80&amp;F81&amp;F82&amp;F83&amp;F84&amp;F85&amp;F86&amp;F87</f>
        <v>  %00000000</v>
      </c>
      <c r="J89" s="42"/>
      <c r="K89" s="42"/>
      <c r="L89" s="42"/>
      <c r="M89" s="43"/>
      <c r="N89" s="2"/>
      <c r="O89" s="2"/>
      <c r="P89" s="2"/>
    </row>
    <row r="90" spans="1:16" ht="12.75">
      <c r="A90" s="34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7"/>
      <c r="N90" s="2"/>
      <c r="O90" s="2"/>
      <c r="P90" s="2"/>
    </row>
    <row r="91" spans="1:16" ht="12.75">
      <c r="A91" s="38"/>
      <c r="B91" s="2"/>
      <c r="C91" s="10" t="s">
        <v>95</v>
      </c>
      <c r="D91" s="5" t="s">
        <v>96</v>
      </c>
      <c r="E91" s="2"/>
      <c r="F91" s="2"/>
      <c r="G91" s="2"/>
      <c r="H91" s="2"/>
      <c r="I91" s="2"/>
      <c r="J91" s="2"/>
      <c r="K91" s="2"/>
      <c r="L91" s="2"/>
      <c r="M91" s="39"/>
      <c r="N91" s="2"/>
      <c r="O91" s="2"/>
      <c r="P91" s="2"/>
    </row>
    <row r="92" spans="1:16" ht="13.5" thickBot="1">
      <c r="A92" s="38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39"/>
      <c r="N92" s="2"/>
      <c r="O92" s="2"/>
      <c r="P92" s="2"/>
    </row>
    <row r="93" spans="1:16" ht="15.75">
      <c r="A93" s="38"/>
      <c r="B93" s="2"/>
      <c r="C93" s="2"/>
      <c r="D93" s="2" t="s">
        <v>53</v>
      </c>
      <c r="E93" s="2"/>
      <c r="F93" s="139">
        <v>0</v>
      </c>
      <c r="G93" s="137" t="s">
        <v>54</v>
      </c>
      <c r="H93" s="2"/>
      <c r="I93" s="2"/>
      <c r="J93" s="2"/>
      <c r="K93" s="2"/>
      <c r="L93" s="2"/>
      <c r="M93" s="39"/>
      <c r="N93" s="2"/>
      <c r="O93" s="2"/>
      <c r="P93" s="2"/>
    </row>
    <row r="94" spans="1:16" ht="15.75">
      <c r="A94" s="38"/>
      <c r="B94" s="2"/>
      <c r="C94" s="2"/>
      <c r="D94" s="2" t="s">
        <v>29</v>
      </c>
      <c r="E94" s="2"/>
      <c r="F94" s="135">
        <v>0</v>
      </c>
      <c r="G94" s="137" t="s">
        <v>54</v>
      </c>
      <c r="H94" s="2"/>
      <c r="I94" s="2"/>
      <c r="J94" s="2"/>
      <c r="K94" s="2"/>
      <c r="L94" s="2"/>
      <c r="M94" s="39"/>
      <c r="N94" s="2"/>
      <c r="O94" s="2"/>
      <c r="P94" s="2"/>
    </row>
    <row r="95" spans="1:16" ht="15.75">
      <c r="A95" s="38"/>
      <c r="B95" s="2"/>
      <c r="C95" s="2"/>
      <c r="D95" s="2" t="s">
        <v>32</v>
      </c>
      <c r="E95" s="2" t="s">
        <v>97</v>
      </c>
      <c r="F95" s="61">
        <v>0</v>
      </c>
      <c r="G95" s="93" t="str">
        <f>IF(F95=0,"Interruption GP5 Désactivée","Interruption GP5 activée")</f>
        <v>Interruption GP5 Désactivée</v>
      </c>
      <c r="H95" s="2"/>
      <c r="I95" s="2"/>
      <c r="J95" s="2"/>
      <c r="K95" s="2"/>
      <c r="L95" s="2"/>
      <c r="M95" s="39"/>
      <c r="N95" s="2"/>
      <c r="O95" s="2"/>
      <c r="P95" s="2"/>
    </row>
    <row r="96" spans="1:16" ht="15.75">
      <c r="A96" s="38"/>
      <c r="B96" s="2"/>
      <c r="C96" s="2"/>
      <c r="D96" s="2" t="s">
        <v>35</v>
      </c>
      <c r="E96" s="2" t="s">
        <v>98</v>
      </c>
      <c r="F96" s="61">
        <v>0</v>
      </c>
      <c r="G96" s="93" t="str">
        <f>IF(F96=0,"Interruption GP4 Désactivée","Interruption GP4 activée")</f>
        <v>Interruption GP4 Désactivée</v>
      </c>
      <c r="H96" s="2"/>
      <c r="I96" s="2"/>
      <c r="J96" s="2"/>
      <c r="K96" s="2"/>
      <c r="L96" s="2"/>
      <c r="M96" s="39"/>
      <c r="N96" s="2"/>
      <c r="O96" s="2"/>
      <c r="P96" s="2"/>
    </row>
    <row r="97" spans="1:16" ht="15.75">
      <c r="A97" s="38"/>
      <c r="B97" s="2"/>
      <c r="C97" s="2"/>
      <c r="D97" s="2" t="s">
        <v>39</v>
      </c>
      <c r="E97" s="2" t="s">
        <v>99</v>
      </c>
      <c r="F97" s="61">
        <v>0</v>
      </c>
      <c r="G97" s="93" t="str">
        <f>IF(F97=0,"Interruption GP3 Désactivée","Interruption GP3 activée")</f>
        <v>Interruption GP3 Désactivée</v>
      </c>
      <c r="H97" s="2"/>
      <c r="I97" s="2"/>
      <c r="J97" s="2"/>
      <c r="K97" s="2"/>
      <c r="L97" s="2"/>
      <c r="M97" s="39"/>
      <c r="N97" s="2"/>
      <c r="O97" s="2"/>
      <c r="P97" s="2"/>
    </row>
    <row r="98" spans="1:16" ht="15.75">
      <c r="A98" s="38"/>
      <c r="B98" s="2"/>
      <c r="C98" s="2"/>
      <c r="D98" s="2" t="s">
        <v>41</v>
      </c>
      <c r="E98" s="2" t="s">
        <v>100</v>
      </c>
      <c r="F98" s="61">
        <v>0</v>
      </c>
      <c r="G98" s="93" t="str">
        <f>IF(F98=0,"Interruption GP2 Désactivée","Interruption GP2 activée")</f>
        <v>Interruption GP2 Désactivée</v>
      </c>
      <c r="H98" s="2"/>
      <c r="I98" s="2"/>
      <c r="J98" s="2"/>
      <c r="K98" s="2"/>
      <c r="L98" s="2"/>
      <c r="M98" s="39"/>
      <c r="N98" s="2"/>
      <c r="O98" s="2"/>
      <c r="P98" s="2"/>
    </row>
    <row r="99" spans="1:16" ht="15.75">
      <c r="A99" s="38"/>
      <c r="B99" s="2"/>
      <c r="C99" s="2"/>
      <c r="D99" s="2" t="s">
        <v>44</v>
      </c>
      <c r="E99" s="2" t="s">
        <v>101</v>
      </c>
      <c r="F99" s="61">
        <v>0</v>
      </c>
      <c r="G99" s="93" t="str">
        <f>IF(F99=0,"Interruption GP1 Désactivée","Interruption GP1 activée")</f>
        <v>Interruption GP1 Désactivée</v>
      </c>
      <c r="H99" s="2"/>
      <c r="I99" s="2"/>
      <c r="J99" s="2"/>
      <c r="K99" s="2"/>
      <c r="L99" s="2"/>
      <c r="M99" s="39"/>
      <c r="N99" s="2"/>
      <c r="O99" s="2"/>
      <c r="P99" s="2"/>
    </row>
    <row r="100" spans="1:16" ht="16.5" thickBot="1">
      <c r="A100" s="38"/>
      <c r="B100" s="2"/>
      <c r="C100" s="2"/>
      <c r="D100" s="2" t="s">
        <v>48</v>
      </c>
      <c r="E100" s="2" t="s">
        <v>102</v>
      </c>
      <c r="F100" s="62">
        <v>0</v>
      </c>
      <c r="G100" s="93" t="str">
        <f>IF(F100=0,"Interruption GP0 Désactivée","Interruption GP0 activée")</f>
        <v>Interruption GP0 Désactivée</v>
      </c>
      <c r="H100" s="2"/>
      <c r="I100" s="2"/>
      <c r="J100" s="2"/>
      <c r="K100" s="2"/>
      <c r="L100" s="2"/>
      <c r="M100" s="39"/>
      <c r="N100" s="2"/>
      <c r="O100" s="2"/>
      <c r="P100" s="2"/>
    </row>
    <row r="101" spans="1:16" ht="12.75">
      <c r="A101" s="38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39"/>
      <c r="N101" s="2"/>
      <c r="O101" s="2"/>
      <c r="P101" s="2"/>
    </row>
    <row r="102" spans="1:16" ht="16.5" thickBot="1">
      <c r="A102" s="41"/>
      <c r="B102" s="42"/>
      <c r="C102" s="42"/>
      <c r="D102" s="112" t="s">
        <v>103</v>
      </c>
      <c r="E102" s="42"/>
      <c r="F102" s="42"/>
      <c r="G102" s="114" t="str">
        <f>"  b'"&amp;F93&amp;F94&amp;F95&amp;F96&amp;F97&amp;F98&amp;F99&amp;F100&amp;"'"</f>
        <v>  b'00000000'</v>
      </c>
      <c r="H102" s="115" t="s">
        <v>104</v>
      </c>
      <c r="I102" s="112" t="str">
        <f>"  %"&amp;F93&amp;F94&amp;F95&amp;F96&amp;F97&amp;F98&amp;F99&amp;F100</f>
        <v>  %00000000</v>
      </c>
      <c r="J102" s="42"/>
      <c r="K102" s="42"/>
      <c r="L102" s="42"/>
      <c r="M102" s="43"/>
      <c r="N102" s="2"/>
      <c r="O102" s="2"/>
      <c r="P102" s="2"/>
    </row>
    <row r="103" spans="1:16" ht="12.75">
      <c r="A103" s="34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7"/>
      <c r="N103" s="2"/>
      <c r="O103" s="2"/>
      <c r="P103" s="2"/>
    </row>
    <row r="104" spans="1:16" ht="12.75">
      <c r="A104" s="38"/>
      <c r="B104" s="2"/>
      <c r="C104" s="10" t="s">
        <v>105</v>
      </c>
      <c r="D104" s="5" t="s">
        <v>106</v>
      </c>
      <c r="E104" s="2"/>
      <c r="F104" s="2"/>
      <c r="G104" s="2"/>
      <c r="H104" s="2"/>
      <c r="I104" s="2"/>
      <c r="J104" s="2"/>
      <c r="K104" s="2"/>
      <c r="L104" s="2"/>
      <c r="M104" s="39"/>
      <c r="N104" s="2"/>
      <c r="O104" s="2"/>
      <c r="P104" s="2"/>
    </row>
    <row r="105" spans="1:16" ht="13.5" thickBot="1">
      <c r="A105" s="38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39"/>
      <c r="N105" s="2"/>
      <c r="O105" s="2"/>
      <c r="P105" s="2"/>
    </row>
    <row r="106" spans="1:16" ht="15.75">
      <c r="A106" s="38"/>
      <c r="B106" s="2"/>
      <c r="C106" s="2"/>
      <c r="D106" s="2" t="s">
        <v>53</v>
      </c>
      <c r="E106" s="2" t="s">
        <v>107</v>
      </c>
      <c r="F106" s="70">
        <v>0</v>
      </c>
      <c r="G106" s="93" t="str">
        <f>IF(F106=0,"Interruption A/D Désactivée","Interruption A/D activée")</f>
        <v>Interruption A/D Désactivée</v>
      </c>
      <c r="H106" s="2"/>
      <c r="I106" s="2"/>
      <c r="J106" s="2"/>
      <c r="K106" s="2"/>
      <c r="L106" s="2"/>
      <c r="M106" s="39"/>
      <c r="N106" s="2"/>
      <c r="O106" s="2"/>
      <c r="P106" s="2"/>
    </row>
    <row r="107" spans="1:16" ht="15.75">
      <c r="A107" s="38"/>
      <c r="B107" s="2"/>
      <c r="C107" s="2"/>
      <c r="D107" s="2" t="s">
        <v>29</v>
      </c>
      <c r="E107" s="2" t="s">
        <v>108</v>
      </c>
      <c r="F107" s="67">
        <v>0</v>
      </c>
      <c r="G107" s="93" t="str">
        <f>IF(F107=0,"Interruption écriture EEPROM Désactivée","Interruption écriture EEPROM activée")</f>
        <v>Interruption écriture EEPROM Désactivée</v>
      </c>
      <c r="H107" s="2"/>
      <c r="I107" s="2"/>
      <c r="J107" s="2"/>
      <c r="K107" s="2"/>
      <c r="L107" s="2"/>
      <c r="M107" s="39"/>
      <c r="N107" s="2"/>
      <c r="O107" s="2"/>
      <c r="P107" s="2"/>
    </row>
    <row r="108" spans="1:16" ht="15.75">
      <c r="A108" s="38"/>
      <c r="B108" s="2"/>
      <c r="C108" s="2"/>
      <c r="D108" s="2" t="s">
        <v>32</v>
      </c>
      <c r="E108" s="2"/>
      <c r="F108" s="136">
        <v>0</v>
      </c>
      <c r="G108" s="137" t="s">
        <v>54</v>
      </c>
      <c r="H108" s="2"/>
      <c r="I108" s="2"/>
      <c r="J108" s="2"/>
      <c r="K108" s="2"/>
      <c r="L108" s="2"/>
      <c r="M108" s="39"/>
      <c r="N108" s="2"/>
      <c r="O108" s="2"/>
      <c r="P108" s="2"/>
    </row>
    <row r="109" spans="1:16" ht="15.75">
      <c r="A109" s="38"/>
      <c r="B109" s="2"/>
      <c r="C109" s="2"/>
      <c r="D109" s="2" t="s">
        <v>35</v>
      </c>
      <c r="E109" s="2"/>
      <c r="F109" s="136">
        <v>0</v>
      </c>
      <c r="G109" s="137" t="s">
        <v>54</v>
      </c>
      <c r="H109" s="2"/>
      <c r="I109" s="2"/>
      <c r="J109" s="2"/>
      <c r="K109" s="2"/>
      <c r="L109" s="2"/>
      <c r="M109" s="39"/>
      <c r="N109" s="2"/>
      <c r="O109" s="2"/>
      <c r="P109" s="2"/>
    </row>
    <row r="110" spans="1:16" ht="15.75">
      <c r="A110" s="38"/>
      <c r="B110" s="2"/>
      <c r="C110" s="2"/>
      <c r="D110" s="2" t="s">
        <v>39</v>
      </c>
      <c r="E110" s="2" t="s">
        <v>109</v>
      </c>
      <c r="F110" s="67">
        <v>0</v>
      </c>
      <c r="G110" s="93" t="str">
        <f>IF(F110=0,"Interruption comparateur  Désactivée","Interruption comparateur  activée")</f>
        <v>Interruption comparateur  Désactivée</v>
      </c>
      <c r="H110" s="2"/>
      <c r="I110" s="2"/>
      <c r="J110" s="2"/>
      <c r="K110" s="2"/>
      <c r="L110" s="2"/>
      <c r="M110" s="39"/>
      <c r="N110" s="2"/>
      <c r="O110" s="2"/>
      <c r="P110" s="2"/>
    </row>
    <row r="111" spans="1:16" ht="15.75">
      <c r="A111" s="38"/>
      <c r="B111" s="2"/>
      <c r="C111" s="2"/>
      <c r="D111" s="2" t="s">
        <v>41</v>
      </c>
      <c r="E111" s="2"/>
      <c r="F111" s="136">
        <v>0</v>
      </c>
      <c r="G111" s="137" t="s">
        <v>54</v>
      </c>
      <c r="H111" s="2"/>
      <c r="I111" s="2"/>
      <c r="J111" s="2"/>
      <c r="K111" s="2"/>
      <c r="L111" s="2"/>
      <c r="M111" s="39"/>
      <c r="N111" s="2"/>
      <c r="O111" s="2"/>
      <c r="P111" s="2"/>
    </row>
    <row r="112" spans="1:16" ht="15.75">
      <c r="A112" s="38"/>
      <c r="B112" s="2"/>
      <c r="C112" s="2"/>
      <c r="D112" s="2" t="s">
        <v>44</v>
      </c>
      <c r="E112" s="2"/>
      <c r="F112" s="136">
        <v>0</v>
      </c>
      <c r="G112" s="137" t="s">
        <v>54</v>
      </c>
      <c r="H112" s="2"/>
      <c r="I112" s="2"/>
      <c r="J112" s="2"/>
      <c r="K112" s="2"/>
      <c r="L112" s="2"/>
      <c r="M112" s="39"/>
      <c r="N112" s="2"/>
      <c r="O112" s="2"/>
      <c r="P112" s="2"/>
    </row>
    <row r="113" spans="1:16" ht="16.5" thickBot="1">
      <c r="A113" s="38"/>
      <c r="B113" s="2"/>
      <c r="C113" s="2"/>
      <c r="D113" s="2" t="s">
        <v>48</v>
      </c>
      <c r="E113" s="2" t="s">
        <v>110</v>
      </c>
      <c r="F113" s="71">
        <v>0</v>
      </c>
      <c r="G113" s="93" t="str">
        <f>IF(F113=0,"Interruption débordement tmr1   Désactivée","Interruption débordement tmr1  activée")</f>
        <v>Interruption débordement tmr1   Désactivée</v>
      </c>
      <c r="H113" s="2"/>
      <c r="I113" s="2"/>
      <c r="J113" s="2"/>
      <c r="K113" s="2"/>
      <c r="L113" s="2"/>
      <c r="M113" s="39"/>
      <c r="N113" s="2"/>
      <c r="O113" s="2"/>
      <c r="P113" s="2"/>
    </row>
    <row r="114" spans="1:16" ht="12.75">
      <c r="A114" s="38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9"/>
      <c r="N114" s="2"/>
      <c r="O114" s="2"/>
      <c r="P114" s="2"/>
    </row>
    <row r="115" spans="1:16" ht="15.75">
      <c r="A115" s="38"/>
      <c r="B115" s="2"/>
      <c r="C115" s="2"/>
      <c r="D115" s="5" t="s">
        <v>111</v>
      </c>
      <c r="E115" s="2"/>
      <c r="F115" s="2"/>
      <c r="G115" s="110" t="str">
        <f>"  b'"&amp;F106&amp;F107&amp;F108&amp;F109&amp;F110&amp;F111&amp;F112&amp;F113&amp;"'"</f>
        <v>  b'00000000'</v>
      </c>
      <c r="H115" s="17" t="s">
        <v>112</v>
      </c>
      <c r="I115" s="5" t="str">
        <f>"  %"&amp;F106&amp;F107&amp;F108&amp;F109&amp;F110&amp;F111&amp;F112&amp;F113</f>
        <v>  %00000000</v>
      </c>
      <c r="J115" s="2"/>
      <c r="K115" s="2"/>
      <c r="L115" s="2"/>
      <c r="M115" s="39"/>
      <c r="N115" s="2"/>
      <c r="O115" s="2"/>
      <c r="P115" s="2"/>
    </row>
    <row r="116" spans="1:16" ht="13.5" thickBot="1">
      <c r="A116" s="38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9"/>
      <c r="N116" s="2"/>
      <c r="O116" s="2"/>
      <c r="P116" s="2"/>
    </row>
    <row r="117" spans="1:19" ht="12.75">
      <c r="A117" s="44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7"/>
    </row>
    <row r="118" spans="1:19" ht="12.75">
      <c r="A118" s="38"/>
      <c r="B118" s="2"/>
      <c r="C118" s="10" t="s">
        <v>113</v>
      </c>
      <c r="D118" s="5" t="s">
        <v>224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39"/>
    </row>
    <row r="119" spans="1:19" ht="12.75">
      <c r="A119" s="38"/>
      <c r="B119" s="2"/>
      <c r="C119" s="2"/>
      <c r="D119" s="5"/>
      <c r="E119" s="2" t="s">
        <v>114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39"/>
    </row>
    <row r="120" spans="1:19" ht="12.75">
      <c r="A120" s="38"/>
      <c r="B120" s="2"/>
      <c r="C120" s="2"/>
      <c r="D120" s="2"/>
      <c r="E120" s="11"/>
      <c r="F120" s="2"/>
      <c r="G120" s="19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39"/>
    </row>
    <row r="121" spans="1:19" ht="12.75">
      <c r="A121" s="38"/>
      <c r="B121" s="2"/>
      <c r="C121" s="2"/>
      <c r="D121" s="2"/>
      <c r="E121" s="19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39"/>
    </row>
    <row r="122" spans="1:19" ht="13.5" thickBot="1">
      <c r="A122" s="38"/>
      <c r="B122" s="2"/>
      <c r="C122" s="2"/>
      <c r="D122" s="2"/>
      <c r="E122" s="19"/>
      <c r="F122" s="2"/>
      <c r="G122" s="2"/>
      <c r="H122" s="2"/>
      <c r="I122" s="2"/>
      <c r="J122" s="19" t="s">
        <v>39</v>
      </c>
      <c r="K122" s="19" t="s">
        <v>41</v>
      </c>
      <c r="L122" s="19" t="s">
        <v>44</v>
      </c>
      <c r="M122" s="2"/>
      <c r="N122" s="2"/>
      <c r="O122" s="2"/>
      <c r="P122" s="2"/>
      <c r="Q122" s="2"/>
      <c r="R122" s="2"/>
      <c r="S122" s="39"/>
    </row>
    <row r="123" spans="1:19" ht="15.75">
      <c r="A123" s="38"/>
      <c r="B123" s="2"/>
      <c r="C123" s="2"/>
      <c r="D123" s="2" t="s">
        <v>53</v>
      </c>
      <c r="E123" s="11"/>
      <c r="F123" s="133">
        <v>0</v>
      </c>
      <c r="G123" s="134" t="s">
        <v>115</v>
      </c>
      <c r="H123" s="2"/>
      <c r="I123" s="21">
        <v>1</v>
      </c>
      <c r="J123" s="10">
        <v>0</v>
      </c>
      <c r="K123" s="10">
        <v>0</v>
      </c>
      <c r="L123" s="10">
        <v>0</v>
      </c>
      <c r="M123" s="2" t="s">
        <v>116</v>
      </c>
      <c r="N123" s="2"/>
      <c r="O123" s="2"/>
      <c r="P123" s="2"/>
      <c r="Q123" s="2"/>
      <c r="R123" s="2"/>
      <c r="S123" s="39"/>
    </row>
    <row r="124" spans="1:19" ht="15.75">
      <c r="A124" s="38"/>
      <c r="B124" s="2"/>
      <c r="C124" s="2"/>
      <c r="D124" s="2" t="s">
        <v>29</v>
      </c>
      <c r="E124" s="11" t="s">
        <v>117</v>
      </c>
      <c r="F124" s="68">
        <v>0</v>
      </c>
      <c r="G124" s="92" t="s">
        <v>118</v>
      </c>
      <c r="H124" s="2"/>
      <c r="I124" s="22">
        <v>2</v>
      </c>
      <c r="J124" s="23">
        <v>1</v>
      </c>
      <c r="K124" s="23">
        <v>1</v>
      </c>
      <c r="L124" s="23">
        <v>1</v>
      </c>
      <c r="M124" s="24" t="s">
        <v>119</v>
      </c>
      <c r="N124" s="2"/>
      <c r="O124" s="2"/>
      <c r="P124" s="2"/>
      <c r="Q124" s="2"/>
      <c r="R124" s="2"/>
      <c r="S124" s="39"/>
    </row>
    <row r="125" spans="1:19" ht="15.75">
      <c r="A125" s="38"/>
      <c r="B125" s="2"/>
      <c r="C125" s="2"/>
      <c r="D125" s="2" t="s">
        <v>32</v>
      </c>
      <c r="E125" s="11"/>
      <c r="F125" s="135">
        <v>0</v>
      </c>
      <c r="G125" s="134" t="s">
        <v>115</v>
      </c>
      <c r="H125" s="2"/>
      <c r="I125" s="21">
        <v>3</v>
      </c>
      <c r="J125" s="10">
        <v>0</v>
      </c>
      <c r="K125" s="10">
        <v>1</v>
      </c>
      <c r="L125" s="10">
        <v>0</v>
      </c>
      <c r="M125" s="2" t="s">
        <v>120</v>
      </c>
      <c r="N125" s="2"/>
      <c r="O125" s="2"/>
      <c r="P125" s="2"/>
      <c r="Q125" s="2"/>
      <c r="R125" s="2"/>
      <c r="S125" s="39"/>
    </row>
    <row r="126" spans="1:19" ht="15.75">
      <c r="A126" s="38"/>
      <c r="B126" s="2"/>
      <c r="C126" s="2"/>
      <c r="D126" s="2" t="s">
        <v>35</v>
      </c>
      <c r="E126" s="11" t="s">
        <v>121</v>
      </c>
      <c r="F126" s="59">
        <v>1</v>
      </c>
      <c r="G126" s="93" t="str">
        <f>IF(F126=0,"NON Inversion du bit b6 COUT","Inversion du bit b6 COUT ")</f>
        <v>Inversion du bit b6 COUT </v>
      </c>
      <c r="H126" s="2"/>
      <c r="I126" s="22">
        <v>4</v>
      </c>
      <c r="J126" s="10">
        <v>0</v>
      </c>
      <c r="K126" s="10">
        <v>0</v>
      </c>
      <c r="L126" s="10">
        <v>1</v>
      </c>
      <c r="M126" s="2" t="s">
        <v>122</v>
      </c>
      <c r="N126" s="2"/>
      <c r="O126" s="2"/>
      <c r="P126" s="2"/>
      <c r="Q126" s="2"/>
      <c r="R126" s="2"/>
      <c r="S126" s="39"/>
    </row>
    <row r="127" spans="1:19" ht="15.75">
      <c r="A127" s="38"/>
      <c r="B127" s="2"/>
      <c r="C127" s="2"/>
      <c r="D127" s="2" t="s">
        <v>39</v>
      </c>
      <c r="E127" s="25" t="s">
        <v>123</v>
      </c>
      <c r="F127" s="59">
        <v>0</v>
      </c>
      <c r="G127" s="93" t="str">
        <f>IF(F127=0,"Vin-   connecte à CIN- GP1","Vin- connect2 à CIN+ GP0")</f>
        <v>Vin-   connecte à CIN- GP1</v>
      </c>
      <c r="H127" s="2"/>
      <c r="I127" s="21">
        <v>5</v>
      </c>
      <c r="J127" s="10">
        <v>1</v>
      </c>
      <c r="K127" s="10">
        <v>0</v>
      </c>
      <c r="L127" s="10">
        <v>0</v>
      </c>
      <c r="M127" s="26" t="s">
        <v>124</v>
      </c>
      <c r="N127" s="2"/>
      <c r="O127" s="2"/>
      <c r="P127" s="2"/>
      <c r="Q127" s="2"/>
      <c r="R127" s="2"/>
      <c r="S127" s="39"/>
    </row>
    <row r="128" spans="1:19" ht="15.75">
      <c r="A128" s="38"/>
      <c r="B128" s="2"/>
      <c r="C128" s="2"/>
      <c r="D128" s="2" t="s">
        <v>41</v>
      </c>
      <c r="E128" s="11" t="s">
        <v>125</v>
      </c>
      <c r="F128" s="59">
        <v>1</v>
      </c>
      <c r="G128" s="2"/>
      <c r="H128" s="2"/>
      <c r="I128" s="22">
        <v>6</v>
      </c>
      <c r="J128" s="10">
        <v>0</v>
      </c>
      <c r="K128" s="10">
        <v>1</v>
      </c>
      <c r="L128" s="10">
        <v>1</v>
      </c>
      <c r="M128" s="26" t="s">
        <v>126</v>
      </c>
      <c r="N128" s="2"/>
      <c r="O128" s="2"/>
      <c r="P128" s="2"/>
      <c r="Q128" s="2"/>
      <c r="R128" s="2"/>
      <c r="S128" s="39"/>
    </row>
    <row r="129" spans="1:19" ht="15.75">
      <c r="A129" s="38"/>
      <c r="B129" s="2"/>
      <c r="C129" s="2"/>
      <c r="D129" s="2" t="s">
        <v>44</v>
      </c>
      <c r="E129" s="11" t="s">
        <v>127</v>
      </c>
      <c r="F129" s="59">
        <v>0</v>
      </c>
      <c r="G129" s="2"/>
      <c r="H129" s="2"/>
      <c r="I129" s="27">
        <v>7</v>
      </c>
      <c r="J129" s="10">
        <v>1</v>
      </c>
      <c r="K129" s="10">
        <v>1</v>
      </c>
      <c r="L129" s="10">
        <v>0</v>
      </c>
      <c r="M129" s="26" t="s">
        <v>128</v>
      </c>
      <c r="N129" s="2"/>
      <c r="O129" s="2"/>
      <c r="P129" s="2"/>
      <c r="Q129" s="2"/>
      <c r="R129" s="2"/>
      <c r="S129" s="39"/>
    </row>
    <row r="130" spans="1:19" ht="16.5" thickBot="1">
      <c r="A130" s="38"/>
      <c r="B130" s="2"/>
      <c r="C130" s="2"/>
      <c r="D130" s="2" t="s">
        <v>48</v>
      </c>
      <c r="E130" s="11" t="s">
        <v>129</v>
      </c>
      <c r="F130" s="72">
        <v>0</v>
      </c>
      <c r="G130" s="2"/>
      <c r="H130" s="2"/>
      <c r="I130" s="28">
        <v>8</v>
      </c>
      <c r="J130" s="10">
        <v>1</v>
      </c>
      <c r="K130" s="10">
        <v>0</v>
      </c>
      <c r="L130" s="10">
        <v>1</v>
      </c>
      <c r="M130" s="26" t="s">
        <v>130</v>
      </c>
      <c r="N130" s="2"/>
      <c r="O130" s="2"/>
      <c r="P130" s="2"/>
      <c r="Q130" s="2"/>
      <c r="R130" s="2"/>
      <c r="S130" s="39"/>
    </row>
    <row r="131" spans="1:19" ht="12.75">
      <c r="A131" s="38"/>
      <c r="B131" s="2"/>
      <c r="C131" s="2"/>
      <c r="D131" s="2"/>
      <c r="E131" s="19"/>
      <c r="F131" s="19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39"/>
    </row>
    <row r="132" spans="1:19" ht="16.5" thickBot="1">
      <c r="A132" s="41"/>
      <c r="B132" s="42"/>
      <c r="C132" s="42"/>
      <c r="D132" s="112" t="s">
        <v>131</v>
      </c>
      <c r="E132" s="120"/>
      <c r="F132" s="120"/>
      <c r="G132" s="114" t="str">
        <f>"  b'"&amp;F123&amp;F124&amp;F125&amp;F126&amp;F127&amp;F128&amp;F129&amp;F130&amp;"'"</f>
        <v>  b'00010100'</v>
      </c>
      <c r="H132" s="115" t="s">
        <v>314</v>
      </c>
      <c r="I132" s="112" t="str">
        <f>"  %"&amp;F123&amp;F124&amp;F125&amp;F126&amp;F127&amp;F128&amp;F129&amp;F130</f>
        <v>  %00010100</v>
      </c>
      <c r="J132" s="42"/>
      <c r="K132" s="42"/>
      <c r="L132" s="42"/>
      <c r="M132" s="42"/>
      <c r="N132" s="42"/>
      <c r="O132" s="42"/>
      <c r="P132" s="42"/>
      <c r="Q132" s="42"/>
      <c r="R132" s="42"/>
      <c r="S132" s="43"/>
    </row>
    <row r="133" spans="1:16" ht="15.75">
      <c r="A133" s="34"/>
      <c r="B133" s="35"/>
      <c r="C133" s="35"/>
      <c r="D133" s="35"/>
      <c r="E133" s="35"/>
      <c r="F133" s="35"/>
      <c r="G133" s="109"/>
      <c r="H133" s="35"/>
      <c r="I133" s="35"/>
      <c r="J133" s="35"/>
      <c r="K133" s="35"/>
      <c r="L133" s="35"/>
      <c r="M133" s="37"/>
      <c r="N133" s="2"/>
      <c r="O133" s="2"/>
      <c r="P133" s="2"/>
    </row>
    <row r="134" spans="1:16" ht="12.75">
      <c r="A134" s="38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39"/>
      <c r="N134" s="2"/>
      <c r="O134" s="2"/>
      <c r="P134" s="2"/>
    </row>
    <row r="135" spans="1:16" ht="12.75">
      <c r="A135" s="38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39"/>
      <c r="N135" s="2"/>
      <c r="O135" s="2"/>
      <c r="P135" s="2"/>
    </row>
    <row r="136" spans="1:16" ht="12.75">
      <c r="A136" s="38"/>
      <c r="B136" s="2"/>
      <c r="C136" s="10" t="s">
        <v>132</v>
      </c>
      <c r="D136" s="5" t="s">
        <v>225</v>
      </c>
      <c r="E136" s="2"/>
      <c r="F136" s="2"/>
      <c r="G136" s="2"/>
      <c r="H136" s="2"/>
      <c r="I136" s="2"/>
      <c r="J136" s="2"/>
      <c r="K136" s="2"/>
      <c r="L136" s="2"/>
      <c r="M136" s="39"/>
      <c r="N136" s="2"/>
      <c r="O136" s="2"/>
      <c r="P136" s="2"/>
    </row>
    <row r="137" spans="1:16" ht="12.75">
      <c r="A137" s="38"/>
      <c r="B137" s="2"/>
      <c r="C137" s="2"/>
      <c r="D137" s="2"/>
      <c r="E137" s="2" t="s">
        <v>133</v>
      </c>
      <c r="F137" s="2"/>
      <c r="G137" s="2"/>
      <c r="H137" s="2"/>
      <c r="I137" s="2"/>
      <c r="J137" s="2"/>
      <c r="K137" s="2"/>
      <c r="L137" s="2"/>
      <c r="M137" s="39"/>
      <c r="N137" s="2"/>
      <c r="O137" s="2"/>
      <c r="P137" s="2"/>
    </row>
    <row r="138" spans="1:16" ht="13.5" thickBot="1">
      <c r="A138" s="38"/>
      <c r="B138" s="2"/>
      <c r="C138" s="2"/>
      <c r="D138" s="2"/>
      <c r="E138" s="17" t="s">
        <v>134</v>
      </c>
      <c r="F138" s="144">
        <v>5</v>
      </c>
      <c r="G138" s="5" t="s">
        <v>135</v>
      </c>
      <c r="J138" s="2"/>
      <c r="K138" s="2"/>
      <c r="L138" s="2"/>
      <c r="M138" s="39"/>
      <c r="N138" s="2"/>
      <c r="O138" s="2"/>
      <c r="P138" s="2"/>
    </row>
    <row r="139" spans="1:16" ht="15.75">
      <c r="A139" s="38"/>
      <c r="B139" s="2"/>
      <c r="C139" s="2"/>
      <c r="D139" s="2" t="s">
        <v>53</v>
      </c>
      <c r="E139" s="2" t="s">
        <v>136</v>
      </c>
      <c r="F139" s="73">
        <v>1</v>
      </c>
      <c r="G139" s="93" t="str">
        <f>IF(F139=1," référence active","référence non active")</f>
        <v> référence active</v>
      </c>
      <c r="H139" s="2"/>
      <c r="I139" s="2"/>
      <c r="J139" s="2"/>
      <c r="K139" s="2"/>
      <c r="L139" s="2"/>
      <c r="M139" s="39"/>
      <c r="N139" s="2"/>
      <c r="O139" s="2"/>
      <c r="P139" s="2"/>
    </row>
    <row r="140" spans="1:16" ht="15.75">
      <c r="A140" s="38"/>
      <c r="B140" s="2"/>
      <c r="C140" s="2"/>
      <c r="D140" s="2" t="s">
        <v>29</v>
      </c>
      <c r="E140" s="2"/>
      <c r="F140" s="138">
        <v>0</v>
      </c>
      <c r="G140" s="2"/>
      <c r="H140" s="4"/>
      <c r="I140" s="2"/>
      <c r="J140" s="2"/>
      <c r="K140" s="2"/>
      <c r="L140" s="2"/>
      <c r="M140" s="39"/>
      <c r="N140" s="2"/>
      <c r="O140" s="2"/>
      <c r="P140" s="2"/>
    </row>
    <row r="141" spans="1:16" ht="15.75">
      <c r="A141" s="38"/>
      <c r="B141" s="2"/>
      <c r="C141" s="2"/>
      <c r="D141" s="2" t="s">
        <v>32</v>
      </c>
      <c r="E141" s="2" t="s">
        <v>137</v>
      </c>
      <c r="F141" s="74">
        <v>0</v>
      </c>
      <c r="G141" s="24" t="s">
        <v>325</v>
      </c>
      <c r="I141" s="2"/>
      <c r="J141" s="2"/>
      <c r="K141" s="2"/>
      <c r="L141" s="2"/>
      <c r="M141" s="39"/>
      <c r="N141" s="2"/>
      <c r="O141" s="2"/>
      <c r="P141" s="2"/>
    </row>
    <row r="142" spans="1:16" ht="15.75">
      <c r="A142" s="38"/>
      <c r="B142" s="2"/>
      <c r="C142" s="2"/>
      <c r="D142" s="2" t="s">
        <v>35</v>
      </c>
      <c r="E142" s="2"/>
      <c r="F142" s="138">
        <v>0</v>
      </c>
      <c r="G142" s="2"/>
      <c r="H142" s="276">
        <f>SUM(H143:H146)</f>
        <v>13</v>
      </c>
      <c r="I142" s="2"/>
      <c r="J142" s="2"/>
      <c r="K142" s="2"/>
      <c r="L142" s="2"/>
      <c r="M142" s="39"/>
      <c r="N142" s="2"/>
      <c r="O142" s="2"/>
      <c r="P142" s="2"/>
    </row>
    <row r="143" spans="1:16" ht="15.75">
      <c r="A143" s="38"/>
      <c r="B143" s="2"/>
      <c r="C143" s="2"/>
      <c r="D143" s="2" t="s">
        <v>39</v>
      </c>
      <c r="E143" s="2"/>
      <c r="F143" s="74">
        <v>1</v>
      </c>
      <c r="G143" s="2"/>
      <c r="H143" s="13">
        <f>IF(F143=1,8,0)</f>
        <v>8</v>
      </c>
      <c r="I143" s="2"/>
      <c r="J143" s="2"/>
      <c r="K143" s="2"/>
      <c r="L143" s="2"/>
      <c r="M143" s="39"/>
      <c r="N143" s="2"/>
      <c r="O143" s="2"/>
      <c r="P143" s="2"/>
    </row>
    <row r="144" spans="1:16" ht="15.75">
      <c r="A144" s="38"/>
      <c r="B144" s="2"/>
      <c r="C144" s="2"/>
      <c r="D144" s="2" t="s">
        <v>41</v>
      </c>
      <c r="E144" s="2"/>
      <c r="F144" s="75">
        <v>1</v>
      </c>
      <c r="G144" s="2"/>
      <c r="H144" s="13">
        <f>IF(F144=1,4,0)</f>
        <v>4</v>
      </c>
      <c r="I144" s="2"/>
      <c r="J144" s="2"/>
      <c r="K144" s="2"/>
      <c r="L144" s="2"/>
      <c r="M144" s="39"/>
      <c r="N144" s="2"/>
      <c r="O144" s="2"/>
      <c r="P144" s="2"/>
    </row>
    <row r="145" spans="1:16" ht="15.75">
      <c r="A145" s="38"/>
      <c r="B145" s="2"/>
      <c r="C145" s="2"/>
      <c r="D145" s="2" t="s">
        <v>44</v>
      </c>
      <c r="E145" s="2"/>
      <c r="F145" s="75">
        <v>0</v>
      </c>
      <c r="G145" s="2"/>
      <c r="H145" s="13">
        <f>IF(F145=1,2,0)</f>
        <v>0</v>
      </c>
      <c r="I145" s="2"/>
      <c r="J145" s="2"/>
      <c r="K145" s="2"/>
      <c r="L145" s="2"/>
      <c r="M145" s="39"/>
      <c r="N145" s="2"/>
      <c r="O145" s="2"/>
      <c r="P145" s="2"/>
    </row>
    <row r="146" spans="1:16" ht="16.5" thickBot="1">
      <c r="A146" s="38"/>
      <c r="B146" s="2"/>
      <c r="C146" s="2"/>
      <c r="D146" s="2" t="s">
        <v>48</v>
      </c>
      <c r="E146" s="2"/>
      <c r="F146" s="76">
        <v>1</v>
      </c>
      <c r="G146" s="2"/>
      <c r="H146" s="13">
        <f>IF(F146=1,1,0)</f>
        <v>1</v>
      </c>
      <c r="I146" s="2"/>
      <c r="J146" s="2"/>
      <c r="K146" s="2"/>
      <c r="L146" s="2"/>
      <c r="M146" s="39"/>
      <c r="N146" s="2"/>
      <c r="O146" s="2"/>
      <c r="P146" s="2"/>
    </row>
    <row r="147" spans="1:16" ht="15.75">
      <c r="A147" s="38"/>
      <c r="B147" s="2"/>
      <c r="C147" s="2"/>
      <c r="E147" s="243" t="s">
        <v>298</v>
      </c>
      <c r="F147" s="242">
        <f>IF(F141=1,(H142/24*F138),((F138/4)+(H142/32*F138)))</f>
        <v>3.28125</v>
      </c>
      <c r="G147" s="244" t="s">
        <v>299</v>
      </c>
      <c r="H147" s="13">
        <f>IF(F147=1,1,0)</f>
        <v>0</v>
      </c>
      <c r="I147" s="2"/>
      <c r="J147" s="2"/>
      <c r="K147" s="2"/>
      <c r="L147" s="2"/>
      <c r="M147" s="39"/>
      <c r="N147" s="2"/>
      <c r="O147" s="2"/>
      <c r="P147" s="2"/>
    </row>
    <row r="148" spans="1:16" ht="16.5" thickBot="1">
      <c r="A148" s="41"/>
      <c r="B148" s="42"/>
      <c r="C148" s="42"/>
      <c r="D148" s="112" t="s">
        <v>138</v>
      </c>
      <c r="E148" s="120"/>
      <c r="F148" s="120"/>
      <c r="G148" s="114" t="str">
        <f>"  b'"&amp;F139&amp;F140&amp;F141&amp;F142&amp;F143&amp;F144&amp;F145&amp;F146&amp;"'"</f>
        <v>  b'10001101'</v>
      </c>
      <c r="H148" s="115" t="s">
        <v>139</v>
      </c>
      <c r="I148" s="112" t="str">
        <f>"  %"&amp;F139&amp;F140&amp;F141&amp;F142&amp;F143&amp;F144&amp;F145&amp;F146</f>
        <v>  %10001101</v>
      </c>
      <c r="J148" s="42"/>
      <c r="K148" s="42"/>
      <c r="L148" s="42"/>
      <c r="M148" s="43"/>
      <c r="N148" s="2"/>
      <c r="O148" s="2"/>
      <c r="P148" s="2"/>
    </row>
    <row r="149" spans="1:16" ht="15.75">
      <c r="A149" s="256"/>
      <c r="B149" s="256"/>
      <c r="D149" s="257" t="s">
        <v>333</v>
      </c>
      <c r="E149" s="258">
        <v>5</v>
      </c>
      <c r="F149" s="244" t="s">
        <v>299</v>
      </c>
      <c r="N149" s="2"/>
      <c r="O149" s="2"/>
      <c r="P149" s="2"/>
    </row>
    <row r="150" spans="14:16" ht="13.5" thickBot="1">
      <c r="N150" s="2"/>
      <c r="O150" s="2"/>
      <c r="P150" s="2"/>
    </row>
    <row r="151" spans="2:16" ht="12.75">
      <c r="B151" s="263" t="s">
        <v>332</v>
      </c>
      <c r="C151" s="272" t="s">
        <v>342</v>
      </c>
      <c r="D151" s="259"/>
      <c r="E151" s="263" t="s">
        <v>332</v>
      </c>
      <c r="F151" s="272" t="s">
        <v>343</v>
      </c>
      <c r="G151" s="259"/>
      <c r="N151" s="2"/>
      <c r="O151" s="2"/>
      <c r="P151" s="2"/>
    </row>
    <row r="152" spans="2:16" ht="13.5" thickBot="1">
      <c r="B152" s="38"/>
      <c r="C152" s="273">
        <v>0</v>
      </c>
      <c r="D152" s="274">
        <v>1</v>
      </c>
      <c r="E152" s="38"/>
      <c r="F152" s="273">
        <v>0</v>
      </c>
      <c r="G152" s="274">
        <v>1</v>
      </c>
      <c r="N152" s="2"/>
      <c r="O152" s="2"/>
      <c r="P152" s="2"/>
    </row>
    <row r="153" spans="2:16" ht="12.75">
      <c r="B153" s="261" t="s">
        <v>317</v>
      </c>
      <c r="C153" s="267">
        <v>1.25</v>
      </c>
      <c r="D153" s="270">
        <v>0</v>
      </c>
      <c r="E153" s="261" t="s">
        <v>334</v>
      </c>
      <c r="F153" s="265">
        <v>2.5</v>
      </c>
      <c r="G153" s="270">
        <v>1.667</v>
      </c>
      <c r="N153" s="2"/>
      <c r="O153" s="2"/>
      <c r="P153" s="2"/>
    </row>
    <row r="154" spans="2:16" ht="12.75">
      <c r="B154" s="261" t="s">
        <v>324</v>
      </c>
      <c r="C154" s="267">
        <v>1.406</v>
      </c>
      <c r="D154" s="270">
        <v>0.208</v>
      </c>
      <c r="E154" s="261" t="s">
        <v>335</v>
      </c>
      <c r="F154" s="265">
        <v>2.656</v>
      </c>
      <c r="G154" s="270">
        <v>1.875</v>
      </c>
      <c r="N154" s="2"/>
      <c r="O154" s="2"/>
      <c r="P154" s="2"/>
    </row>
    <row r="155" spans="2:16" ht="12.75">
      <c r="B155" s="261" t="s">
        <v>326</v>
      </c>
      <c r="C155" s="267">
        <v>1.563</v>
      </c>
      <c r="D155" s="270">
        <v>0.417</v>
      </c>
      <c r="E155" s="261" t="s">
        <v>336</v>
      </c>
      <c r="F155" s="265">
        <v>2.813</v>
      </c>
      <c r="G155" s="270">
        <v>2.083</v>
      </c>
      <c r="N155" s="2"/>
      <c r="O155" s="2"/>
      <c r="P155" s="2"/>
    </row>
    <row r="156" spans="2:16" ht="12.75">
      <c r="B156" s="261" t="s">
        <v>327</v>
      </c>
      <c r="C156" s="267">
        <v>1.719</v>
      </c>
      <c r="D156" s="270">
        <v>0.625</v>
      </c>
      <c r="E156" s="261" t="s">
        <v>337</v>
      </c>
      <c r="F156" s="265">
        <v>2.969</v>
      </c>
      <c r="G156" s="270">
        <v>2.292</v>
      </c>
      <c r="N156" s="2"/>
      <c r="O156" s="2"/>
      <c r="P156" s="2"/>
    </row>
    <row r="157" spans="2:16" ht="12.75">
      <c r="B157" s="261" t="s">
        <v>328</v>
      </c>
      <c r="C157" s="267">
        <v>1.875</v>
      </c>
      <c r="D157" s="270">
        <v>0.833</v>
      </c>
      <c r="E157" s="261" t="s">
        <v>338</v>
      </c>
      <c r="F157" s="265">
        <v>3.125</v>
      </c>
      <c r="G157" s="270">
        <v>2.5</v>
      </c>
      <c r="N157" s="2"/>
      <c r="O157" s="2"/>
      <c r="P157" s="2"/>
    </row>
    <row r="158" spans="2:16" ht="12.75">
      <c r="B158" s="261" t="s">
        <v>329</v>
      </c>
      <c r="C158" s="267">
        <v>2.031</v>
      </c>
      <c r="D158" s="270">
        <v>1.042</v>
      </c>
      <c r="E158" s="261" t="s">
        <v>339</v>
      </c>
      <c r="F158" s="265">
        <v>3.281</v>
      </c>
      <c r="G158" s="270">
        <v>2.708</v>
      </c>
      <c r="N158" s="2"/>
      <c r="O158" s="2"/>
      <c r="P158" s="2"/>
    </row>
    <row r="159" spans="2:16" ht="12.75">
      <c r="B159" s="261" t="s">
        <v>330</v>
      </c>
      <c r="C159" s="267">
        <v>2.188</v>
      </c>
      <c r="D159" s="270">
        <v>1.25</v>
      </c>
      <c r="E159" s="261" t="s">
        <v>340</v>
      </c>
      <c r="F159" s="265">
        <v>3.281</v>
      </c>
      <c r="G159" s="270">
        <v>2.917</v>
      </c>
      <c r="N159" s="2"/>
      <c r="O159" s="2"/>
      <c r="P159" s="2"/>
    </row>
    <row r="160" spans="2:16" ht="13.5" thickBot="1">
      <c r="B160" s="262" t="s">
        <v>331</v>
      </c>
      <c r="C160" s="268">
        <v>2.344</v>
      </c>
      <c r="D160" s="271">
        <v>1.458</v>
      </c>
      <c r="E160" s="262" t="s">
        <v>341</v>
      </c>
      <c r="F160" s="266">
        <v>3.594</v>
      </c>
      <c r="G160" s="271">
        <v>3.125</v>
      </c>
      <c r="N160" s="2"/>
      <c r="O160" s="2"/>
      <c r="P160" s="2"/>
    </row>
    <row r="161" spans="14:16" ht="12.75">
      <c r="N161" s="2"/>
      <c r="O161" s="2"/>
      <c r="P161" s="2"/>
    </row>
    <row r="162" spans="14:16" ht="12.75">
      <c r="N162" s="2"/>
      <c r="O162" s="2"/>
      <c r="P162" s="2"/>
    </row>
    <row r="163" spans="14:16" ht="13.5" thickBot="1">
      <c r="N163" s="2"/>
      <c r="O163" s="2"/>
      <c r="P163" s="2"/>
    </row>
    <row r="164" spans="1:16" ht="12.75">
      <c r="A164" s="34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7"/>
      <c r="N164" s="2"/>
      <c r="O164" s="2"/>
      <c r="P164" s="2"/>
    </row>
    <row r="165" spans="1:16" ht="12.75">
      <c r="A165" s="38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39"/>
      <c r="N165" s="2"/>
      <c r="O165" s="2"/>
      <c r="P165" s="2"/>
    </row>
    <row r="166" spans="1:16" ht="12.75">
      <c r="A166" s="40" t="s">
        <v>140</v>
      </c>
      <c r="B166" s="2"/>
      <c r="C166" s="10" t="s">
        <v>141</v>
      </c>
      <c r="D166" s="5" t="s">
        <v>142</v>
      </c>
      <c r="E166" s="2"/>
      <c r="F166" s="2"/>
      <c r="G166" s="2"/>
      <c r="H166" s="2"/>
      <c r="I166" s="2"/>
      <c r="J166" s="2"/>
      <c r="K166" s="2"/>
      <c r="L166" s="2"/>
      <c r="M166" s="39"/>
      <c r="N166" s="2"/>
      <c r="O166" s="2"/>
      <c r="P166" s="2"/>
    </row>
    <row r="167" spans="1:16" ht="13.5" thickBot="1">
      <c r="A167" s="38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39"/>
      <c r="N167" s="2"/>
      <c r="O167" s="2"/>
      <c r="P167" s="2"/>
    </row>
    <row r="168" spans="1:16" ht="15.75">
      <c r="A168" s="38"/>
      <c r="B168" s="2"/>
      <c r="C168" s="2"/>
      <c r="D168" s="2" t="s">
        <v>53</v>
      </c>
      <c r="E168" s="2"/>
      <c r="F168" s="139">
        <v>0</v>
      </c>
      <c r="G168" s="2" t="s">
        <v>54</v>
      </c>
      <c r="H168" s="2"/>
      <c r="I168" s="2"/>
      <c r="J168" s="2"/>
      <c r="K168" s="2"/>
      <c r="L168" s="2"/>
      <c r="M168" s="39"/>
      <c r="N168" s="2"/>
      <c r="O168" s="2"/>
      <c r="P168" s="2"/>
    </row>
    <row r="169" spans="1:16" ht="15.75">
      <c r="A169" s="38"/>
      <c r="B169" s="2"/>
      <c r="C169" s="2"/>
      <c r="D169" s="2" t="s">
        <v>29</v>
      </c>
      <c r="E169" s="2" t="s">
        <v>143</v>
      </c>
      <c r="F169" s="77">
        <v>0</v>
      </c>
      <c r="G169" s="93" t="str">
        <f>IF(F169=0,"Timer1   Activé","Timer1  activé si b2  T1G est bas")</f>
        <v>Timer1   Activé</v>
      </c>
      <c r="H169" s="2" t="s">
        <v>144</v>
      </c>
      <c r="I169" s="2"/>
      <c r="J169" s="13"/>
      <c r="K169" s="2"/>
      <c r="L169" s="2"/>
      <c r="M169" s="39"/>
      <c r="N169" s="2"/>
      <c r="O169" s="2"/>
      <c r="P169" s="2"/>
    </row>
    <row r="170" spans="1:16" ht="15.75">
      <c r="A170" s="38" t="s">
        <v>145</v>
      </c>
      <c r="B170" s="2"/>
      <c r="C170" s="2"/>
      <c r="D170" s="2" t="s">
        <v>32</v>
      </c>
      <c r="E170" s="2" t="s">
        <v>146</v>
      </c>
      <c r="F170" s="78">
        <v>1</v>
      </c>
      <c r="G170" s="17" t="s">
        <v>147</v>
      </c>
      <c r="H170" s="97">
        <f>1/J173</f>
        <v>0.25</v>
      </c>
      <c r="I170" s="2"/>
      <c r="J170" s="13">
        <f>IF(F170=0,0,4)</f>
        <v>4</v>
      </c>
      <c r="K170" s="2"/>
      <c r="L170" s="2"/>
      <c r="M170" s="39"/>
      <c r="N170" s="2"/>
      <c r="O170" s="2"/>
      <c r="P170" s="2"/>
    </row>
    <row r="171" spans="1:16" ht="15.75">
      <c r="A171" s="38" t="s">
        <v>148</v>
      </c>
      <c r="B171" s="2"/>
      <c r="C171" s="2"/>
      <c r="D171" s="2" t="s">
        <v>35</v>
      </c>
      <c r="E171" s="2" t="s">
        <v>149</v>
      </c>
      <c r="F171" s="78">
        <v>0</v>
      </c>
      <c r="G171" s="2"/>
      <c r="H171" s="98">
        <f>0.065356/H170</f>
        <v>0.261424</v>
      </c>
      <c r="I171" s="2" t="s">
        <v>31</v>
      </c>
      <c r="J171" s="13">
        <f>IF(F171=0,0,1)</f>
        <v>0</v>
      </c>
      <c r="K171" s="2"/>
      <c r="L171" s="2"/>
      <c r="M171" s="39"/>
      <c r="N171" s="2"/>
      <c r="O171" s="2"/>
      <c r="P171" s="2"/>
    </row>
    <row r="172" spans="1:16" ht="15.75">
      <c r="A172" s="121">
        <v>0.065356</v>
      </c>
      <c r="B172" s="2" t="s">
        <v>31</v>
      </c>
      <c r="C172" s="2"/>
      <c r="D172" s="2" t="s">
        <v>39</v>
      </c>
      <c r="E172" s="2" t="s">
        <v>150</v>
      </c>
      <c r="F172" s="79">
        <v>0</v>
      </c>
      <c r="G172" s="93" t="str">
        <f>IF(F172=0,"oscillation LP  off","oscillation LP  valité pour l'horloge Timer1 ")</f>
        <v>oscillation LP  off</v>
      </c>
      <c r="H172" s="2"/>
      <c r="I172" s="2"/>
      <c r="J172" s="13">
        <f>J170+J171</f>
        <v>4</v>
      </c>
      <c r="K172" s="2"/>
      <c r="L172" s="2"/>
      <c r="M172" s="39"/>
      <c r="N172" s="2"/>
      <c r="O172" s="2"/>
      <c r="P172" s="2"/>
    </row>
    <row r="173" spans="1:16" ht="15.75">
      <c r="A173" s="38" t="s">
        <v>34</v>
      </c>
      <c r="B173" s="2"/>
      <c r="C173" s="2"/>
      <c r="D173" s="2" t="s">
        <v>41</v>
      </c>
      <c r="E173" s="2" t="s">
        <v>151</v>
      </c>
      <c r="F173" s="79">
        <v>0</v>
      </c>
      <c r="G173" s="93" t="str">
        <f>IF(F173=0,"Synchronise l'horloge ext","pas de synchronisation  ")</f>
        <v>Synchronise l'horloge ext</v>
      </c>
      <c r="H173" s="2" t="s">
        <v>152</v>
      </c>
      <c r="I173" s="2"/>
      <c r="J173" s="13">
        <f>IF(J172=0,1,IF(J172=1,2,IF(J172=4,4,IF(J172=5,8,"0"))))</f>
        <v>4</v>
      </c>
      <c r="K173" s="2"/>
      <c r="L173" s="2"/>
      <c r="M173" s="39"/>
      <c r="N173" s="2"/>
      <c r="O173" s="2"/>
      <c r="P173" s="2"/>
    </row>
    <row r="174" spans="1:16" ht="15.75">
      <c r="A174" s="38" t="s">
        <v>38</v>
      </c>
      <c r="B174" s="2"/>
      <c r="C174" s="2"/>
      <c r="D174" s="2" t="s">
        <v>44</v>
      </c>
      <c r="E174" s="2" t="s">
        <v>153</v>
      </c>
      <c r="F174" s="79">
        <v>0</v>
      </c>
      <c r="G174" s="93" t="str">
        <f>IF(F174=0,"Horloge interne sélectionnée( Fosc/4)","Horloge externe selectionnée")</f>
        <v>Horloge interne sélectionnée( Fosc/4)</v>
      </c>
      <c r="H174" s="2"/>
      <c r="I174" s="2"/>
      <c r="J174" s="2"/>
      <c r="K174" s="2"/>
      <c r="L174" s="2"/>
      <c r="M174" s="39"/>
      <c r="N174" s="2"/>
      <c r="O174" s="2"/>
      <c r="P174" s="2"/>
    </row>
    <row r="175" spans="1:16" ht="16.5" thickBot="1">
      <c r="A175" s="122">
        <f>H171</f>
        <v>0.261424</v>
      </c>
      <c r="B175" s="2" t="s">
        <v>31</v>
      </c>
      <c r="C175" s="2"/>
      <c r="D175" s="2" t="s">
        <v>48</v>
      </c>
      <c r="E175" s="2" t="s">
        <v>154</v>
      </c>
      <c r="F175" s="80">
        <v>1</v>
      </c>
      <c r="G175" s="93" t="str">
        <f>IF(F175=0,"Timer1   Désactivé","Timer1  activé")</f>
        <v>Timer1  activé</v>
      </c>
      <c r="H175" s="2"/>
      <c r="I175" s="2"/>
      <c r="J175" s="2"/>
      <c r="K175" s="2"/>
      <c r="L175" s="2"/>
      <c r="M175" s="39"/>
      <c r="N175" s="2"/>
      <c r="O175" s="2"/>
      <c r="P175" s="2"/>
    </row>
    <row r="176" spans="1:16" ht="12.75">
      <c r="A176" s="38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39"/>
      <c r="N176" s="2"/>
      <c r="O176" s="2"/>
      <c r="P176" s="2"/>
    </row>
    <row r="177" spans="1:16" ht="16.5" thickBot="1">
      <c r="A177" s="41"/>
      <c r="B177" s="42"/>
      <c r="C177" s="42"/>
      <c r="D177" s="112" t="s">
        <v>155</v>
      </c>
      <c r="E177" s="42"/>
      <c r="F177" s="42"/>
      <c r="G177" s="114" t="str">
        <f>"  b'"&amp;F168&amp;F169&amp;F170&amp;F171&amp;F172&amp;F173&amp;F174&amp;F175&amp;"'"</f>
        <v>  b'00100001'</v>
      </c>
      <c r="H177" s="115" t="s">
        <v>156</v>
      </c>
      <c r="I177" s="112" t="str">
        <f>"  %"&amp;F168&amp;F169&amp;F170&amp;F171&amp;F172&amp;F173&amp;F174&amp;F175</f>
        <v>  %00100001</v>
      </c>
      <c r="J177" s="42"/>
      <c r="K177" s="42"/>
      <c r="L177" s="42"/>
      <c r="M177" s="43"/>
      <c r="N177" s="2"/>
      <c r="O177" s="2"/>
      <c r="P177" s="2"/>
    </row>
    <row r="178" spans="1:16" ht="15.75">
      <c r="A178" s="49"/>
      <c r="B178" s="2"/>
      <c r="C178" s="2"/>
      <c r="D178" s="5"/>
      <c r="E178" s="2"/>
      <c r="F178" s="2"/>
      <c r="G178" s="3"/>
      <c r="H178" s="30"/>
      <c r="I178" s="2"/>
      <c r="J178" s="2"/>
      <c r="K178" s="2"/>
      <c r="L178" s="2"/>
      <c r="M178" s="50"/>
      <c r="N178" s="2"/>
      <c r="O178" s="2"/>
      <c r="P178" s="2"/>
    </row>
    <row r="179" spans="1:16" ht="16.5" thickBot="1">
      <c r="A179" s="49"/>
      <c r="B179" s="2"/>
      <c r="C179" s="2"/>
      <c r="D179" s="5"/>
      <c r="E179" s="2"/>
      <c r="F179" s="2"/>
      <c r="G179" s="3"/>
      <c r="H179" s="30"/>
      <c r="I179" s="2"/>
      <c r="J179" s="2"/>
      <c r="K179" s="2"/>
      <c r="L179" s="2"/>
      <c r="M179" s="50"/>
      <c r="N179" s="2"/>
      <c r="O179" s="2"/>
      <c r="P179" s="2"/>
    </row>
    <row r="180" spans="1:16" ht="12.75">
      <c r="A180" s="34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7"/>
      <c r="N180" s="2"/>
      <c r="O180" s="2"/>
      <c r="P180" s="2"/>
    </row>
    <row r="181" spans="1:16" ht="12.75">
      <c r="A181" s="116" t="s">
        <v>157</v>
      </c>
      <c r="B181" s="5"/>
      <c r="C181" s="10" t="s">
        <v>158</v>
      </c>
      <c r="D181" s="5" t="s">
        <v>210</v>
      </c>
      <c r="E181" s="5"/>
      <c r="F181" s="5"/>
      <c r="G181" s="5"/>
      <c r="H181" s="2"/>
      <c r="I181" s="2"/>
      <c r="J181" s="2"/>
      <c r="K181" s="2"/>
      <c r="L181" s="2"/>
      <c r="M181" s="39"/>
      <c r="N181" s="2"/>
      <c r="O181" s="2"/>
      <c r="P181" s="2"/>
    </row>
    <row r="182" spans="1:16" ht="12.75">
      <c r="A182" s="38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39"/>
      <c r="N182" s="2"/>
      <c r="O182" s="2"/>
      <c r="P182" s="2"/>
    </row>
    <row r="183" spans="1:16" ht="13.5" thickBot="1">
      <c r="A183" s="38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39"/>
      <c r="N183" s="2"/>
      <c r="O183" s="2"/>
      <c r="P183" s="2"/>
    </row>
    <row r="184" spans="1:16" ht="15.75">
      <c r="A184" s="38"/>
      <c r="B184" s="2"/>
      <c r="C184" s="2"/>
      <c r="D184" s="2" t="s">
        <v>53</v>
      </c>
      <c r="E184" s="2" t="s">
        <v>159</v>
      </c>
      <c r="F184" s="81">
        <v>0</v>
      </c>
      <c r="G184" s="93" t="str">
        <f>IF(F184=0,"Ref=VDD","Ref= Pin")</f>
        <v>Ref=VDD</v>
      </c>
      <c r="H184" s="2"/>
      <c r="I184" s="2"/>
      <c r="J184" s="2"/>
      <c r="K184" s="2"/>
      <c r="L184" s="2"/>
      <c r="M184" s="39"/>
      <c r="N184" s="2"/>
      <c r="O184" s="2"/>
      <c r="P184" s="2"/>
    </row>
    <row r="185" spans="1:16" ht="15.75">
      <c r="A185" s="38"/>
      <c r="B185" s="2"/>
      <c r="C185" s="2"/>
      <c r="D185" s="2" t="s">
        <v>29</v>
      </c>
      <c r="E185" s="2" t="s">
        <v>160</v>
      </c>
      <c r="F185" s="79">
        <v>0</v>
      </c>
      <c r="G185" s="93" t="str">
        <f>IF(F185=0,"Justifié à gauche","Justifié à droite")</f>
        <v>Justifié à gauche</v>
      </c>
      <c r="H185" s="2"/>
      <c r="I185" s="2"/>
      <c r="J185" s="2"/>
      <c r="K185" s="2"/>
      <c r="L185" s="2"/>
      <c r="M185" s="39"/>
      <c r="N185" s="2"/>
      <c r="O185" s="2"/>
      <c r="P185" s="2"/>
    </row>
    <row r="186" spans="1:16" ht="15.75">
      <c r="A186" s="38"/>
      <c r="B186" s="2"/>
      <c r="C186" s="2"/>
      <c r="D186" s="2" t="s">
        <v>32</v>
      </c>
      <c r="E186" s="2"/>
      <c r="F186" s="136">
        <v>0</v>
      </c>
      <c r="G186" s="2" t="s">
        <v>54</v>
      </c>
      <c r="H186" s="2"/>
      <c r="I186" s="2"/>
      <c r="J186" s="2"/>
      <c r="K186" s="2"/>
      <c r="L186" s="2"/>
      <c r="M186" s="39"/>
      <c r="N186" s="2"/>
      <c r="O186" s="2"/>
      <c r="P186" s="2"/>
    </row>
    <row r="187" spans="1:16" ht="15.75">
      <c r="A187" s="38"/>
      <c r="B187" s="2"/>
      <c r="C187" s="2"/>
      <c r="D187" s="2" t="s">
        <v>35</v>
      </c>
      <c r="E187" s="2"/>
      <c r="F187" s="136">
        <v>0</v>
      </c>
      <c r="G187" s="2" t="s">
        <v>54</v>
      </c>
      <c r="H187" s="2"/>
      <c r="I187" s="2"/>
      <c r="J187" s="2"/>
      <c r="K187" s="2"/>
      <c r="L187" s="2"/>
      <c r="M187" s="39"/>
      <c r="N187" s="2"/>
      <c r="O187" s="2"/>
      <c r="P187" s="2"/>
    </row>
    <row r="188" spans="1:16" ht="15.75">
      <c r="A188" s="38"/>
      <c r="B188" s="2"/>
      <c r="C188" s="2"/>
      <c r="D188" s="2" t="s">
        <v>39</v>
      </c>
      <c r="E188" s="2" t="s">
        <v>161</v>
      </c>
      <c r="F188" s="77">
        <v>1</v>
      </c>
      <c r="G188" s="2"/>
      <c r="H188" s="2"/>
      <c r="I188" s="2"/>
      <c r="J188" s="2"/>
      <c r="K188" s="2"/>
      <c r="L188" s="2"/>
      <c r="M188" s="39"/>
      <c r="N188" s="2"/>
      <c r="O188" s="2"/>
      <c r="P188" s="2"/>
    </row>
    <row r="189" spans="1:16" ht="15.75">
      <c r="A189" s="38"/>
      <c r="B189" s="2"/>
      <c r="C189" s="2"/>
      <c r="D189" s="2" t="s">
        <v>41</v>
      </c>
      <c r="E189" s="31" t="s">
        <v>162</v>
      </c>
      <c r="F189" s="77">
        <v>1</v>
      </c>
      <c r="G189" s="10" t="str">
        <f>IF((10*F188+F189=0),"   AN0 sélectionné",IF((10*F188+F189=1),"   AN1 sélectionné",IF((10*F188+F189=10),"   AN2 sélectionné",IF((10*F188+F189)=11,"   AN3 sélectionné"," "))))</f>
        <v>   AN3 sélectionné</v>
      </c>
      <c r="H189" s="24"/>
      <c r="I189" s="2"/>
      <c r="J189" s="2"/>
      <c r="K189" s="2"/>
      <c r="L189" s="2"/>
      <c r="M189" s="39"/>
      <c r="N189" s="2"/>
      <c r="O189" s="2"/>
      <c r="P189" s="2"/>
    </row>
    <row r="190" spans="1:16" ht="15.75">
      <c r="A190" s="38"/>
      <c r="B190" s="2"/>
      <c r="C190" s="2"/>
      <c r="D190" s="2" t="s">
        <v>44</v>
      </c>
      <c r="E190" s="31" t="s">
        <v>163</v>
      </c>
      <c r="F190" s="82">
        <v>0</v>
      </c>
      <c r="G190" s="24" t="s">
        <v>164</v>
      </c>
      <c r="H190" s="2"/>
      <c r="I190" s="2"/>
      <c r="J190" s="2"/>
      <c r="K190" s="2"/>
      <c r="L190" s="2"/>
      <c r="M190" s="39"/>
      <c r="N190" s="2"/>
      <c r="O190" s="2"/>
      <c r="P190" s="2"/>
    </row>
    <row r="191" spans="1:16" ht="16.5" thickBot="1">
      <c r="A191" s="38"/>
      <c r="B191" s="2"/>
      <c r="C191" s="2"/>
      <c r="D191" s="2" t="s">
        <v>48</v>
      </c>
      <c r="E191" s="31" t="s">
        <v>165</v>
      </c>
      <c r="F191" s="83">
        <v>1</v>
      </c>
      <c r="G191" s="93" t="str">
        <f>IF(F191=0,"Convertisseur    Désactivé","convertisseur  activé")</f>
        <v>convertisseur  activé</v>
      </c>
      <c r="H191" s="5" t="s">
        <v>166</v>
      </c>
      <c r="I191" s="2"/>
      <c r="J191" s="2"/>
      <c r="K191" s="2"/>
      <c r="L191" s="2"/>
      <c r="M191" s="39"/>
      <c r="N191" s="2"/>
      <c r="O191" s="2"/>
      <c r="P191" s="2"/>
    </row>
    <row r="192" spans="1:16" ht="12.75">
      <c r="A192" s="38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39"/>
      <c r="N192" s="2"/>
      <c r="O192" s="2"/>
      <c r="P192" s="2"/>
    </row>
    <row r="193" spans="1:16" ht="15.75">
      <c r="A193" s="38"/>
      <c r="B193" s="2"/>
      <c r="C193" s="2"/>
      <c r="D193" s="5" t="s">
        <v>167</v>
      </c>
      <c r="E193" s="2"/>
      <c r="F193" s="2"/>
      <c r="G193" s="110" t="str">
        <f>"  b'"&amp;F184&amp;F185&amp;F186&amp;F187&amp;F188&amp;F189&amp;F190&amp;F191&amp;"'"</f>
        <v>  b'00001101'</v>
      </c>
      <c r="H193" s="17" t="s">
        <v>168</v>
      </c>
      <c r="I193" s="5" t="str">
        <f>"  %"&amp;F184&amp;F185&amp;F186&amp;F187&amp;F188&amp;F189&amp;F190&amp;F191</f>
        <v>  %00001101</v>
      </c>
      <c r="J193" s="2"/>
      <c r="K193" s="2"/>
      <c r="L193" s="2"/>
      <c r="M193" s="39"/>
      <c r="N193" s="2"/>
      <c r="O193" s="2"/>
      <c r="P193" s="2"/>
    </row>
    <row r="194" spans="1:16" ht="13.5" thickBot="1">
      <c r="A194" s="41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3"/>
      <c r="N194" s="2"/>
      <c r="O194" s="2"/>
      <c r="P194" s="2"/>
    </row>
    <row r="195" spans="1:16" ht="12.75">
      <c r="A195" s="34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7"/>
      <c r="N195" s="2"/>
      <c r="O195" s="2"/>
      <c r="P195" s="2"/>
    </row>
    <row r="196" spans="1:16" ht="12.75">
      <c r="A196" s="38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39"/>
      <c r="N196" s="2"/>
      <c r="O196" s="2"/>
      <c r="P196" s="2"/>
    </row>
    <row r="197" spans="1:16" ht="12.75">
      <c r="A197" s="116" t="s">
        <v>157</v>
      </c>
      <c r="B197" s="5"/>
      <c r="C197" s="10" t="s">
        <v>158</v>
      </c>
      <c r="D197" s="5" t="s">
        <v>169</v>
      </c>
      <c r="E197" s="5"/>
      <c r="F197" s="5"/>
      <c r="G197" s="5"/>
      <c r="H197" s="2"/>
      <c r="I197" s="2"/>
      <c r="J197" s="2"/>
      <c r="K197" s="2"/>
      <c r="L197" s="2"/>
      <c r="M197" s="39"/>
      <c r="N197" s="2"/>
      <c r="O197" s="2"/>
      <c r="P197" s="2"/>
    </row>
    <row r="198" spans="1:16" ht="12.75">
      <c r="A198" s="38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39"/>
      <c r="N198" s="2"/>
      <c r="O198" s="2"/>
      <c r="P198" s="2"/>
    </row>
    <row r="199" spans="1:16" ht="13.5" thickBot="1">
      <c r="A199" s="38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39"/>
      <c r="N199" s="2"/>
      <c r="O199" s="2"/>
      <c r="P199" s="2"/>
    </row>
    <row r="200" spans="1:16" ht="15.75">
      <c r="A200" s="38"/>
      <c r="B200" s="2"/>
      <c r="C200" s="2"/>
      <c r="D200" s="2" t="s">
        <v>53</v>
      </c>
      <c r="E200" s="2"/>
      <c r="F200" s="139">
        <v>0</v>
      </c>
      <c r="G200" s="137" t="s">
        <v>54</v>
      </c>
      <c r="H200" s="2"/>
      <c r="I200" s="2"/>
      <c r="J200" s="2"/>
      <c r="K200" s="2"/>
      <c r="L200" s="2"/>
      <c r="M200" s="39"/>
      <c r="N200" s="2"/>
      <c r="O200" s="2"/>
      <c r="P200" s="2"/>
    </row>
    <row r="201" spans="1:16" ht="15.75">
      <c r="A201" s="38"/>
      <c r="B201" s="2"/>
      <c r="C201" s="2"/>
      <c r="D201" s="2" t="s">
        <v>29</v>
      </c>
      <c r="E201" s="2" t="s">
        <v>170</v>
      </c>
      <c r="F201" s="84">
        <v>0</v>
      </c>
      <c r="G201" s="2"/>
      <c r="H201" s="2" t="s">
        <v>171</v>
      </c>
      <c r="I201" s="2"/>
      <c r="J201" s="2"/>
      <c r="K201" s="2"/>
      <c r="L201" s="2"/>
      <c r="M201" s="39"/>
      <c r="N201" s="2"/>
      <c r="O201" s="2"/>
      <c r="P201" s="2"/>
    </row>
    <row r="202" spans="1:16" ht="15.75">
      <c r="A202" s="38"/>
      <c r="B202" s="2"/>
      <c r="C202" s="2"/>
      <c r="D202" s="2" t="s">
        <v>32</v>
      </c>
      <c r="E202" s="2" t="s">
        <v>172</v>
      </c>
      <c r="F202" s="84">
        <v>0</v>
      </c>
      <c r="G202" s="2"/>
      <c r="H202" s="2" t="s">
        <v>173</v>
      </c>
      <c r="I202" s="2"/>
      <c r="J202" s="2"/>
      <c r="K202" s="2"/>
      <c r="L202" s="2"/>
      <c r="M202" s="39"/>
      <c r="N202" s="2"/>
      <c r="O202" s="2"/>
      <c r="P202" s="2"/>
    </row>
    <row r="203" spans="1:16" ht="15.75">
      <c r="A203" s="38"/>
      <c r="B203" s="2"/>
      <c r="C203" s="2"/>
      <c r="D203" s="2" t="s">
        <v>35</v>
      </c>
      <c r="E203" s="2" t="s">
        <v>174</v>
      </c>
      <c r="F203" s="84">
        <v>1</v>
      </c>
      <c r="G203" s="95" t="str">
        <f>IF((100*F201+10*F202+F203=0),"   Fosc/2",IF((100*F201+10*F202+F203=1),"   Fosc/8",IF((100*F201+10*F202+F203=10),"   Fosc/32",IF((100*F201+10*F202+F203=11),"    Frc",IF((100*F201+10*F202+F203=100),"   Fosc/4",IF((100*F201+10*F202+F203=101),"   Fosc/16",IF((100*F201+10*F202+F203=110),"  Fosc/64"," ")))))))</f>
        <v>   Fosc/8</v>
      </c>
      <c r="H203" s="2" t="s">
        <v>175</v>
      </c>
      <c r="I203" s="4" t="s">
        <v>226</v>
      </c>
      <c r="J203" s="2"/>
      <c r="K203" s="2"/>
      <c r="L203" s="2"/>
      <c r="M203" s="39"/>
      <c r="N203" s="2"/>
      <c r="O203" s="2"/>
      <c r="P203" s="2"/>
    </row>
    <row r="204" spans="1:16" ht="15.75">
      <c r="A204" s="38"/>
      <c r="B204" s="2"/>
      <c r="C204" s="2"/>
      <c r="D204" s="2" t="s">
        <v>39</v>
      </c>
      <c r="E204" s="2" t="s">
        <v>176</v>
      </c>
      <c r="F204" s="79">
        <v>0</v>
      </c>
      <c r="G204" s="93" t="str">
        <f>IF(F204=1,"Entée analogique","Entrée digitale ")</f>
        <v>Entrée digitale </v>
      </c>
      <c r="H204" s="2"/>
      <c r="I204" s="2"/>
      <c r="J204" s="2"/>
      <c r="K204" s="2"/>
      <c r="L204" s="2"/>
      <c r="M204" s="39"/>
      <c r="N204" s="2"/>
      <c r="O204" s="2"/>
      <c r="P204" s="2"/>
    </row>
    <row r="205" spans="1:16" ht="15.75">
      <c r="A205" s="38"/>
      <c r="B205" s="2"/>
      <c r="C205" s="2"/>
      <c r="D205" s="2" t="s">
        <v>41</v>
      </c>
      <c r="E205" s="2" t="s">
        <v>177</v>
      </c>
      <c r="F205" s="79">
        <v>0</v>
      </c>
      <c r="G205" s="93" t="str">
        <f>IF(F205=1,"Entée analogique","Entrée digitale ")</f>
        <v>Entrée digitale </v>
      </c>
      <c r="H205" s="2"/>
      <c r="I205" s="2"/>
      <c r="J205" s="2"/>
      <c r="K205" s="2"/>
      <c r="L205" s="2"/>
      <c r="M205" s="39"/>
      <c r="N205" s="2"/>
      <c r="O205" s="2"/>
      <c r="P205" s="2"/>
    </row>
    <row r="206" spans="1:16" ht="15.75">
      <c r="A206" s="38"/>
      <c r="B206" s="2"/>
      <c r="C206" s="2"/>
      <c r="D206" s="2" t="s">
        <v>44</v>
      </c>
      <c r="E206" s="2" t="s">
        <v>178</v>
      </c>
      <c r="F206" s="79">
        <v>0</v>
      </c>
      <c r="G206" s="93" t="str">
        <f>IF(F206=1,"Entée analogique","Entrée digitale ")</f>
        <v>Entrée digitale </v>
      </c>
      <c r="H206" s="2"/>
      <c r="I206" s="2"/>
      <c r="J206" s="2"/>
      <c r="K206" s="2"/>
      <c r="L206" s="2"/>
      <c r="M206" s="39"/>
      <c r="N206" s="2"/>
      <c r="O206" s="2"/>
      <c r="P206" s="2"/>
    </row>
    <row r="207" spans="1:16" ht="16.5" thickBot="1">
      <c r="A207" s="38"/>
      <c r="B207" s="2"/>
      <c r="C207" s="2"/>
      <c r="D207" s="2" t="s">
        <v>48</v>
      </c>
      <c r="E207" s="2" t="s">
        <v>179</v>
      </c>
      <c r="F207" s="83">
        <v>1</v>
      </c>
      <c r="G207" s="93" t="str">
        <f>IF(F207=1,"Entée analogique","Entrée digitale ")</f>
        <v>Entée analogique</v>
      </c>
      <c r="H207" s="2"/>
      <c r="I207" s="2"/>
      <c r="J207" s="2"/>
      <c r="K207" s="2"/>
      <c r="L207" s="2"/>
      <c r="M207" s="39"/>
      <c r="N207" s="2"/>
      <c r="O207" s="2"/>
      <c r="P207" s="2"/>
    </row>
    <row r="208" spans="1:16" ht="12.75">
      <c r="A208" s="38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39"/>
      <c r="N208" s="2"/>
      <c r="O208" s="2"/>
      <c r="P208" s="2"/>
    </row>
    <row r="209" spans="1:16" ht="15.75">
      <c r="A209" s="38"/>
      <c r="B209" s="2"/>
      <c r="C209" s="2"/>
      <c r="D209" s="20" t="s">
        <v>180</v>
      </c>
      <c r="E209" s="2"/>
      <c r="F209" s="2"/>
      <c r="G209" s="110" t="str">
        <f>"  b'"&amp;F200&amp;F201&amp;F202&amp;F203&amp;F204&amp;F205&amp;F206&amp;F207&amp;"'"</f>
        <v>  b'00010001'</v>
      </c>
      <c r="H209" s="30" t="s">
        <v>181</v>
      </c>
      <c r="I209" s="2" t="str">
        <f>"  %"&amp;F200&amp;F201&amp;F202&amp;F203&amp;F204&amp;F205&amp;F206&amp;F207</f>
        <v>  %00010001</v>
      </c>
      <c r="J209" s="2"/>
      <c r="K209" s="2"/>
      <c r="L209" s="2"/>
      <c r="M209" s="39"/>
      <c r="N209" s="2"/>
      <c r="O209" s="2"/>
      <c r="P209" s="2"/>
    </row>
    <row r="210" spans="1:16" ht="13.5" thickBot="1">
      <c r="A210" s="41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3"/>
      <c r="N210" s="2"/>
      <c r="O210" s="2"/>
      <c r="P210" s="2"/>
    </row>
    <row r="211" spans="1:16" ht="12.75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7"/>
      <c r="N211" s="2"/>
      <c r="O211" s="2"/>
      <c r="P211" s="2"/>
    </row>
    <row r="212" spans="1:16" ht="12.75">
      <c r="A212" s="38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39"/>
      <c r="N212" s="2"/>
      <c r="O212" s="2"/>
      <c r="P212" s="2"/>
    </row>
    <row r="213" spans="1:16" ht="12.75">
      <c r="A213" s="38"/>
      <c r="B213" s="2"/>
      <c r="C213" s="10" t="s">
        <v>182</v>
      </c>
      <c r="D213" s="5" t="s">
        <v>211</v>
      </c>
      <c r="E213" s="5"/>
      <c r="F213" s="5"/>
      <c r="G213" s="5"/>
      <c r="H213" s="2"/>
      <c r="I213" s="2"/>
      <c r="J213" s="2"/>
      <c r="K213" s="2"/>
      <c r="L213" s="2"/>
      <c r="M213" s="39"/>
      <c r="N213" s="2"/>
      <c r="O213" s="2"/>
      <c r="P213" s="2"/>
    </row>
    <row r="214" spans="1:16" ht="12.75">
      <c r="A214" s="38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39"/>
      <c r="N214" s="2"/>
      <c r="O214" s="2"/>
      <c r="P214" s="2"/>
    </row>
    <row r="215" spans="1:16" ht="13.5" thickBot="1">
      <c r="A215" s="38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39"/>
      <c r="N215" s="2"/>
      <c r="O215" s="2"/>
      <c r="P215" s="2"/>
    </row>
    <row r="216" spans="1:16" ht="15.75">
      <c r="A216" s="38"/>
      <c r="B216" s="2"/>
      <c r="C216" s="2"/>
      <c r="D216" s="2" t="s">
        <v>53</v>
      </c>
      <c r="E216" s="2" t="s">
        <v>183</v>
      </c>
      <c r="F216" s="85">
        <v>0</v>
      </c>
      <c r="G216" s="93" t="str">
        <f>IF(F216=1,"Convertion A/D  COMPLETE ","Convertion A/D  INCOMPLETE ")</f>
        <v>Convertion A/D  INCOMPLETE </v>
      </c>
      <c r="H216" s="2"/>
      <c r="I216" s="2"/>
      <c r="J216" s="2"/>
      <c r="K216" s="2"/>
      <c r="L216" s="2"/>
      <c r="M216" s="39"/>
      <c r="N216" s="2"/>
      <c r="O216" s="2"/>
      <c r="P216" s="2"/>
    </row>
    <row r="217" spans="1:16" ht="15.75">
      <c r="A217" s="38"/>
      <c r="B217" s="2"/>
      <c r="C217" s="2"/>
      <c r="D217" s="2" t="s">
        <v>29</v>
      </c>
      <c r="E217" s="2" t="s">
        <v>184</v>
      </c>
      <c r="F217" s="82">
        <v>0</v>
      </c>
      <c r="G217" s="93" t="str">
        <f>IF(F217=1,"Ecriture dans l'EEPROM complete ","Ecriture dans l'EEPROM PAS terminée ")</f>
        <v>Ecriture dans l'EEPROM PAS terminée </v>
      </c>
      <c r="H217" s="2"/>
      <c r="I217" s="2"/>
      <c r="J217" s="2"/>
      <c r="K217" s="2"/>
      <c r="L217" s="2"/>
      <c r="M217" s="39"/>
      <c r="N217" s="2"/>
      <c r="O217" s="2"/>
      <c r="P217" s="2"/>
    </row>
    <row r="218" spans="1:16" ht="15.75">
      <c r="A218" s="38"/>
      <c r="B218" s="2"/>
      <c r="C218" s="2"/>
      <c r="D218" s="2" t="s">
        <v>32</v>
      </c>
      <c r="E218" s="2"/>
      <c r="F218" s="136">
        <v>0</v>
      </c>
      <c r="G218" s="2" t="s">
        <v>54</v>
      </c>
      <c r="H218" s="2"/>
      <c r="I218" s="2"/>
      <c r="J218" s="2"/>
      <c r="K218" s="2"/>
      <c r="L218" s="2"/>
      <c r="M218" s="39"/>
      <c r="N218" s="2"/>
      <c r="O218" s="2"/>
      <c r="P218" s="2"/>
    </row>
    <row r="219" spans="1:16" ht="15.75">
      <c r="A219" s="38"/>
      <c r="B219" s="2"/>
      <c r="C219" s="2"/>
      <c r="D219" s="2" t="s">
        <v>35</v>
      </c>
      <c r="E219" s="2"/>
      <c r="F219" s="136">
        <v>0</v>
      </c>
      <c r="G219" s="2" t="s">
        <v>54</v>
      </c>
      <c r="H219" s="2"/>
      <c r="I219" s="2"/>
      <c r="J219" s="2"/>
      <c r="K219" s="2"/>
      <c r="L219" s="2"/>
      <c r="M219" s="39"/>
      <c r="N219" s="2"/>
      <c r="O219" s="2"/>
      <c r="P219" s="2"/>
    </row>
    <row r="220" spans="1:16" ht="15.75">
      <c r="A220" s="38"/>
      <c r="B220" s="2"/>
      <c r="C220" s="2"/>
      <c r="D220" s="2" t="s">
        <v>39</v>
      </c>
      <c r="E220" s="2" t="s">
        <v>185</v>
      </c>
      <c r="F220" s="82">
        <v>0</v>
      </c>
      <c r="G220" s="93" t="str">
        <f>IF(F220=1,"l'entrée du comparateur à changée ","l'entrée du comparateur n'à  PAS changée ")</f>
        <v>l'entrée du comparateur n'à  PAS changée </v>
      </c>
      <c r="H220" s="2"/>
      <c r="I220" s="2"/>
      <c r="J220" s="2"/>
      <c r="K220" s="2"/>
      <c r="L220" s="2"/>
      <c r="M220" s="39"/>
      <c r="N220" s="2"/>
      <c r="O220" s="2"/>
      <c r="P220" s="2"/>
    </row>
    <row r="221" spans="1:16" ht="15.75">
      <c r="A221" s="38"/>
      <c r="B221" s="2"/>
      <c r="C221" s="2"/>
      <c r="D221" s="2" t="s">
        <v>41</v>
      </c>
      <c r="E221" s="2"/>
      <c r="F221" s="136">
        <v>0</v>
      </c>
      <c r="G221" s="2"/>
      <c r="H221" s="2"/>
      <c r="I221" s="2"/>
      <c r="J221" s="2"/>
      <c r="K221" s="2"/>
      <c r="L221" s="2"/>
      <c r="M221" s="39"/>
      <c r="N221" s="2"/>
      <c r="O221" s="2"/>
      <c r="P221" s="2"/>
    </row>
    <row r="222" spans="1:16" ht="15.75">
      <c r="A222" s="38"/>
      <c r="B222" s="2"/>
      <c r="C222" s="2"/>
      <c r="D222" s="2" t="s">
        <v>44</v>
      </c>
      <c r="E222" s="2"/>
      <c r="F222" s="136">
        <v>0</v>
      </c>
      <c r="G222" s="2"/>
      <c r="H222" s="2"/>
      <c r="I222" s="2"/>
      <c r="J222" s="2"/>
      <c r="K222" s="2"/>
      <c r="L222" s="2"/>
      <c r="M222" s="39"/>
      <c r="N222" s="2"/>
      <c r="O222" s="2"/>
      <c r="P222" s="2"/>
    </row>
    <row r="223" spans="1:16" ht="16.5" thickBot="1">
      <c r="A223" s="38"/>
      <c r="B223" s="2"/>
      <c r="C223" s="2"/>
      <c r="D223" s="2" t="s">
        <v>48</v>
      </c>
      <c r="E223" s="2" t="s">
        <v>186</v>
      </c>
      <c r="F223" s="86">
        <v>0</v>
      </c>
      <c r="G223" s="93" t="str">
        <f>IF(F223=1,"Débordement du TIMER1 ","PAS de Débordement du TIMER1 ")</f>
        <v>PAS de Débordement du TIMER1 </v>
      </c>
      <c r="H223" s="2"/>
      <c r="I223" s="2"/>
      <c r="J223" s="2"/>
      <c r="K223" s="2"/>
      <c r="L223" s="2"/>
      <c r="M223" s="39"/>
      <c r="N223" s="2"/>
      <c r="O223" s="2"/>
      <c r="P223" s="2"/>
    </row>
    <row r="224" spans="1:16" ht="15.75">
      <c r="A224" s="38"/>
      <c r="B224" s="2"/>
      <c r="C224" s="2"/>
      <c r="D224" s="2"/>
      <c r="E224" s="2"/>
      <c r="F224" s="32"/>
      <c r="G224" s="11"/>
      <c r="H224" s="2"/>
      <c r="I224" s="2"/>
      <c r="J224" s="2"/>
      <c r="K224" s="2"/>
      <c r="L224" s="2"/>
      <c r="M224" s="39"/>
      <c r="N224" s="2"/>
      <c r="O224" s="2"/>
      <c r="P224" s="2"/>
    </row>
    <row r="225" spans="1:16" ht="16.5" thickBot="1">
      <c r="A225" s="41"/>
      <c r="B225" s="42"/>
      <c r="C225" s="42"/>
      <c r="D225" s="112" t="s">
        <v>187</v>
      </c>
      <c r="E225" s="42"/>
      <c r="F225" s="113"/>
      <c r="G225" s="114" t="str">
        <f>"  b'"&amp;F216&amp;F217&amp;F218&amp;F219&amp;F220&amp;F221&amp;F222&amp;F223&amp;"'"</f>
        <v>  b'00000000'</v>
      </c>
      <c r="H225" s="115" t="s">
        <v>188</v>
      </c>
      <c r="I225" s="112" t="str">
        <f>"  %"&amp;F216&amp;F217&amp;F218&amp;F219&amp;F220&amp;F221&amp;F222&amp;F223</f>
        <v>  %00000000</v>
      </c>
      <c r="J225" s="42"/>
      <c r="K225" s="42"/>
      <c r="L225" s="42"/>
      <c r="M225" s="43"/>
      <c r="N225" s="2"/>
      <c r="O225" s="2"/>
      <c r="P225" s="2"/>
    </row>
    <row r="226" spans="1:16" ht="15.75">
      <c r="A226" s="2"/>
      <c r="B226" s="2"/>
      <c r="C226" s="2"/>
      <c r="D226" s="2"/>
      <c r="E226" s="2"/>
      <c r="F226" s="32"/>
      <c r="G226" s="11"/>
      <c r="H226" s="2"/>
      <c r="I226" s="2"/>
      <c r="J226" s="2"/>
      <c r="K226" s="2"/>
      <c r="L226" s="2"/>
      <c r="M226" s="2"/>
      <c r="N226" s="2"/>
      <c r="O226" s="2"/>
      <c r="P226" s="2"/>
    </row>
    <row r="227" spans="1:16" ht="15.75">
      <c r="A227" s="3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>
      <c r="B228" s="2"/>
      <c r="C228" s="2"/>
      <c r="D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ht="15.75">
      <c r="A229" s="3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ht="16.5" thickBot="1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ht="18">
      <c r="A231" s="34"/>
      <c r="B231" s="35"/>
      <c r="C231" s="35"/>
      <c r="D231" s="35"/>
      <c r="E231" s="36" t="s">
        <v>189</v>
      </c>
      <c r="F231" s="35"/>
      <c r="G231" s="35"/>
      <c r="H231" s="35"/>
      <c r="I231" s="37"/>
      <c r="J231" s="2"/>
      <c r="K231" s="2"/>
      <c r="L231" s="2"/>
      <c r="M231" s="2"/>
      <c r="N231" s="2"/>
      <c r="O231" s="2"/>
      <c r="P231" s="2"/>
    </row>
    <row r="232" spans="1:16" ht="12.75">
      <c r="A232" s="38"/>
      <c r="B232" s="2"/>
      <c r="C232" s="2"/>
      <c r="D232" s="2"/>
      <c r="E232" s="2"/>
      <c r="F232" s="2"/>
      <c r="G232" s="2"/>
      <c r="H232" s="2"/>
      <c r="I232" s="39"/>
      <c r="J232" s="2"/>
      <c r="K232" s="2"/>
      <c r="L232" s="2"/>
      <c r="M232" s="2"/>
      <c r="N232" s="2"/>
      <c r="O232" s="2"/>
      <c r="P232" s="2"/>
    </row>
    <row r="233" spans="1:16" ht="12.75">
      <c r="A233" s="38"/>
      <c r="B233" s="2"/>
      <c r="C233" s="2"/>
      <c r="D233" s="2"/>
      <c r="E233" s="2"/>
      <c r="F233" s="2"/>
      <c r="G233" s="2"/>
      <c r="H233" s="2"/>
      <c r="I233" s="39"/>
      <c r="J233" s="2"/>
      <c r="K233" s="2"/>
      <c r="L233" s="2"/>
      <c r="M233" s="2"/>
      <c r="N233" s="2"/>
      <c r="O233" s="2"/>
      <c r="P233" s="2"/>
    </row>
    <row r="234" spans="1:16" ht="15.75">
      <c r="A234" s="105" t="s">
        <v>205</v>
      </c>
      <c r="B234" s="106" t="str">
        <f>D16</f>
        <v>3185</v>
      </c>
      <c r="C234" s="92"/>
      <c r="D234" s="92"/>
      <c r="E234" s="92"/>
      <c r="F234" s="92"/>
      <c r="G234" s="92"/>
      <c r="H234" s="92"/>
      <c r="I234" s="39"/>
      <c r="J234" s="2"/>
      <c r="K234" s="2"/>
      <c r="L234" s="2"/>
      <c r="M234" s="2"/>
      <c r="N234" s="2"/>
      <c r="O234" s="2"/>
      <c r="P234" s="2"/>
    </row>
    <row r="235" spans="1:16" ht="12.75">
      <c r="A235" s="107"/>
      <c r="B235" s="92"/>
      <c r="C235" s="92"/>
      <c r="D235" s="92"/>
      <c r="E235" s="92"/>
      <c r="F235" s="92"/>
      <c r="G235" s="92"/>
      <c r="H235" s="92"/>
      <c r="I235" s="39"/>
      <c r="J235" s="2"/>
      <c r="K235" s="2"/>
      <c r="L235" s="2"/>
      <c r="M235" s="2"/>
      <c r="N235" s="2"/>
      <c r="O235" s="2"/>
      <c r="P235" s="2"/>
    </row>
    <row r="236" spans="1:16" ht="12.75">
      <c r="A236" s="101" t="str">
        <f>B24</f>
        <v>__CONFIG    _CPD_OFF &amp; _CP_OFF &amp; _BODEN_OFF &amp; _MCLRE_OFF &amp; _PWRTE_ON &amp; _WDT_OFF &amp; _INTRC_OSC_CLKOUT</v>
      </c>
      <c r="B236" s="92"/>
      <c r="C236" s="92"/>
      <c r="D236" s="92"/>
      <c r="E236" s="92"/>
      <c r="F236" s="92"/>
      <c r="G236" s="92"/>
      <c r="H236" s="92"/>
      <c r="I236" s="39"/>
      <c r="J236" s="2"/>
      <c r="K236" s="2"/>
      <c r="L236" s="2"/>
      <c r="M236" s="2"/>
      <c r="N236" s="2"/>
      <c r="O236" s="2"/>
      <c r="P236" s="2"/>
    </row>
    <row r="237" spans="1:16" ht="13.5" thickBot="1">
      <c r="A237" s="41"/>
      <c r="B237" s="42"/>
      <c r="C237" s="42"/>
      <c r="D237" s="42"/>
      <c r="E237" s="42"/>
      <c r="F237" s="42"/>
      <c r="G237" s="42"/>
      <c r="H237" s="42"/>
      <c r="I237" s="43"/>
      <c r="J237" s="2"/>
      <c r="K237" s="2"/>
      <c r="L237" s="2"/>
      <c r="M237" s="2"/>
      <c r="N237" s="2"/>
      <c r="O237" s="2"/>
      <c r="P237" s="2"/>
    </row>
    <row r="238" spans="1:16" ht="13.5" thickBo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ht="15.75">
      <c r="A239" s="2"/>
      <c r="B239" s="2"/>
      <c r="C239" s="2"/>
      <c r="D239" s="34"/>
      <c r="E239" s="35"/>
      <c r="F239" s="109" t="s">
        <v>220</v>
      </c>
      <c r="G239" s="35"/>
      <c r="H239" s="35"/>
      <c r="I239" s="37"/>
      <c r="J239" s="2"/>
      <c r="K239" s="2"/>
      <c r="L239" s="2"/>
      <c r="M239" s="2"/>
      <c r="N239" s="2"/>
      <c r="O239" s="2"/>
      <c r="P239" s="33"/>
    </row>
    <row r="240" spans="1:16" ht="13.5" thickBot="1">
      <c r="A240" s="2"/>
      <c r="B240" s="2"/>
      <c r="C240" s="2"/>
      <c r="D240" s="38"/>
      <c r="E240" s="2"/>
      <c r="F240" s="2"/>
      <c r="G240" s="2"/>
      <c r="H240" s="2"/>
      <c r="I240" s="39"/>
      <c r="J240" s="2"/>
      <c r="K240" s="2"/>
      <c r="L240" s="2"/>
      <c r="M240" s="2"/>
      <c r="N240" s="2"/>
      <c r="O240" s="2"/>
      <c r="P240" s="2"/>
    </row>
    <row r="241" spans="1:16" ht="12.75">
      <c r="A241" s="99" t="str">
        <f>D41&amp;G41</f>
        <v>OPTIONVAL    EQU  b'01000011'</v>
      </c>
      <c r="B241" s="100"/>
      <c r="C241" s="2"/>
      <c r="D241" s="38" t="str">
        <f>D30</f>
        <v>Configuration du registre OPTION_REG (configuration resistance ,Interruption,timer,prediviseur )</v>
      </c>
      <c r="E241" s="2"/>
      <c r="F241" s="2"/>
      <c r="G241" s="2"/>
      <c r="H241" s="2"/>
      <c r="I241" s="39"/>
      <c r="J241" s="2"/>
      <c r="K241" s="2"/>
      <c r="L241" s="2"/>
      <c r="M241" s="2"/>
      <c r="N241" s="2"/>
      <c r="O241" s="2"/>
      <c r="P241" s="2"/>
    </row>
    <row r="242" spans="1:16" ht="15.75">
      <c r="A242" s="101" t="str">
        <f>D54&amp;G54</f>
        <v>TRISIOVAL      EQU  b'00101000'</v>
      </c>
      <c r="B242" s="102"/>
      <c r="C242" s="2"/>
      <c r="D242" s="38" t="str">
        <f>D43</f>
        <v>Configuration du registre TRISIO (configuration des entrées sorties)</v>
      </c>
      <c r="E242" s="2"/>
      <c r="F242" s="2"/>
      <c r="G242" s="2"/>
      <c r="H242" s="2"/>
      <c r="I242" s="39"/>
      <c r="J242" s="2"/>
      <c r="K242" s="2"/>
      <c r="L242" s="2"/>
      <c r="M242" s="2"/>
      <c r="N242" s="2"/>
      <c r="O242" s="2"/>
      <c r="P242" s="3"/>
    </row>
    <row r="243" spans="1:16" ht="12.75">
      <c r="A243" s="101" t="str">
        <f>D67&amp;G67</f>
        <v>WPUVAL         EQU  b'00000000'</v>
      </c>
      <c r="B243" s="102"/>
      <c r="C243" s="2"/>
      <c r="D243" s="38" t="str">
        <f>D56</f>
        <v>Configuration du registre WPU (resistances individuelles)</v>
      </c>
      <c r="E243" s="2"/>
      <c r="F243" s="2"/>
      <c r="G243" s="2"/>
      <c r="H243" s="2"/>
      <c r="I243" s="39"/>
      <c r="J243" s="4" t="s">
        <v>215</v>
      </c>
      <c r="K243" s="2"/>
      <c r="L243" s="2"/>
      <c r="M243" s="2"/>
      <c r="N243" s="2"/>
      <c r="O243" s="2"/>
      <c r="P243" s="2"/>
    </row>
    <row r="244" spans="1:16" ht="12.75">
      <c r="A244" s="101" t="str">
        <f>D76&amp;G76</f>
        <v>OSCCALVAL   EQU  b'10000000'</v>
      </c>
      <c r="B244" s="102"/>
      <c r="C244" s="2"/>
      <c r="D244" s="38" t="str">
        <f>D68</f>
        <v>Configuration du registe OSCCALVAL (type d'oscillation)</v>
      </c>
      <c r="E244" s="2"/>
      <c r="F244" s="2"/>
      <c r="G244" s="2"/>
      <c r="H244" s="2"/>
      <c r="I244" s="39"/>
      <c r="J244" s="2"/>
      <c r="K244" s="2"/>
      <c r="L244" s="2"/>
      <c r="M244" s="2"/>
      <c r="N244" s="2"/>
      <c r="O244" s="2"/>
      <c r="P244" s="2">
        <f>W41&amp;X41</f>
      </c>
    </row>
    <row r="245" spans="1:16" ht="12.75">
      <c r="A245" s="101" t="str">
        <f>D89&amp;G89</f>
        <v>INTCONVAL     EQU  b'00000000'</v>
      </c>
      <c r="B245" s="102"/>
      <c r="C245" s="2"/>
      <c r="D245" s="38" t="str">
        <f>D78</f>
        <v>Configuration du registre INTCON (contrôle générale des interruptions )</v>
      </c>
      <c r="E245" s="2"/>
      <c r="F245" s="2"/>
      <c r="G245" s="2"/>
      <c r="H245" s="2"/>
      <c r="I245" s="39"/>
      <c r="J245" s="2"/>
      <c r="K245" s="2"/>
      <c r="L245" s="2"/>
      <c r="M245" s="2"/>
      <c r="N245" s="2"/>
      <c r="O245" s="2"/>
      <c r="P245" s="2">
        <f>W54&amp;X54</f>
      </c>
    </row>
    <row r="246" spans="1:16" ht="12.75">
      <c r="A246" s="101" t="str">
        <f>D102&amp;G102</f>
        <v>IOCVAL           EQU  b'00000000'</v>
      </c>
      <c r="B246" s="102"/>
      <c r="C246" s="2"/>
      <c r="D246" s="38" t="str">
        <f>D91</f>
        <v>Configuration du registre IOC (contrôle des interruptions individuelles)</v>
      </c>
      <c r="E246" s="2"/>
      <c r="F246" s="2"/>
      <c r="G246" s="2"/>
      <c r="H246" s="2"/>
      <c r="I246" s="39"/>
      <c r="J246" s="2"/>
      <c r="K246" s="2"/>
      <c r="L246" s="2"/>
      <c r="M246" s="2"/>
      <c r="N246" s="2"/>
      <c r="O246" s="2"/>
      <c r="P246" s="2">
        <f>W67&amp;X67</f>
      </c>
    </row>
    <row r="247" spans="1:16" ht="12.75">
      <c r="A247" s="101" t="str">
        <f>D115&amp;G115</f>
        <v>PIE1VAL          EQU  b'00000000'</v>
      </c>
      <c r="B247" s="102"/>
      <c r="C247" s="2"/>
      <c r="D247" s="38" t="str">
        <f>D104</f>
        <v>Configuration du registre PIE1(contrôle des interruptions périphérique)</v>
      </c>
      <c r="E247" s="2"/>
      <c r="F247" s="2"/>
      <c r="G247" s="2"/>
      <c r="H247" s="2"/>
      <c r="I247" s="39"/>
      <c r="J247" s="2"/>
      <c r="K247" s="2"/>
      <c r="L247" s="2"/>
      <c r="M247" s="2"/>
      <c r="N247" s="2"/>
      <c r="O247" s="2"/>
      <c r="P247" s="2">
        <f>W76&amp;X76</f>
      </c>
    </row>
    <row r="248" spans="1:16" ht="12.75">
      <c r="A248" s="101" t="str">
        <f>D132&amp;G132</f>
        <v>CMCONVAL    EQU  b'00010100'</v>
      </c>
      <c r="B248" s="102"/>
      <c r="C248" s="2"/>
      <c r="D248" s="38" t="str">
        <f>D118</f>
        <v>Configuration du registre  CMCON (Configuration du comparateur )</v>
      </c>
      <c r="E248" s="2"/>
      <c r="F248" s="2"/>
      <c r="G248" s="2"/>
      <c r="H248" s="2"/>
      <c r="I248" s="39"/>
      <c r="J248" s="2"/>
      <c r="K248" s="2"/>
      <c r="L248" s="2"/>
      <c r="M248" s="2"/>
      <c r="N248" s="2"/>
      <c r="O248" s="2"/>
      <c r="P248" s="2">
        <f>W89&amp;X89</f>
      </c>
    </row>
    <row r="249" spans="1:16" ht="12.75">
      <c r="A249" s="101" t="str">
        <f>D148&amp;G148</f>
        <v>VRCONVAL    EQU  b'10001101'</v>
      </c>
      <c r="B249" s="102"/>
      <c r="C249" s="2"/>
      <c r="D249" s="38" t="str">
        <f>D136</f>
        <v>Configuration du registre  VRCON (Configuration du comparateur )</v>
      </c>
      <c r="E249" s="2"/>
      <c r="F249" s="2"/>
      <c r="G249" s="2"/>
      <c r="H249" s="2"/>
      <c r="I249" s="39"/>
      <c r="J249" s="4" t="s">
        <v>214</v>
      </c>
      <c r="K249" s="2"/>
      <c r="L249" s="2"/>
      <c r="M249" s="2"/>
      <c r="N249" s="2"/>
      <c r="O249" s="2"/>
      <c r="P249" s="2">
        <f>W102&amp;X102</f>
      </c>
    </row>
    <row r="250" spans="1:16" ht="12.75">
      <c r="A250" s="101" t="str">
        <f>D177&amp;G177</f>
        <v>T1CONAL        EQU  b'00100001'</v>
      </c>
      <c r="B250" s="102"/>
      <c r="C250" s="2"/>
      <c r="D250" s="38" t="str">
        <f>D166</f>
        <v>Configuration du registreT1CON (contrôle du Timer1)</v>
      </c>
      <c r="E250" s="2"/>
      <c r="F250" s="2"/>
      <c r="G250" s="2"/>
      <c r="H250" s="2"/>
      <c r="I250" s="39"/>
      <c r="J250" s="2"/>
      <c r="K250" s="2"/>
      <c r="L250" s="2"/>
      <c r="M250" s="2"/>
      <c r="N250" s="2"/>
      <c r="O250" s="2"/>
      <c r="P250" s="2">
        <f>W115&amp;X115</f>
      </c>
    </row>
    <row r="251" spans="1:16" ht="12.75">
      <c r="A251" s="101" t="str">
        <f>D193&amp;G193</f>
        <v>ADCON0        EQU  b'00001101'</v>
      </c>
      <c r="B251" s="102"/>
      <c r="C251" s="2"/>
      <c r="D251" s="38" t="str">
        <f>D181</f>
        <v>Configuration du registre ADCON0   configuration du convertisseur  A/D</v>
      </c>
      <c r="E251" s="2"/>
      <c r="F251" s="2"/>
      <c r="G251" s="2"/>
      <c r="H251" s="2"/>
      <c r="I251" s="39"/>
      <c r="J251" s="4" t="s">
        <v>216</v>
      </c>
      <c r="K251" s="2"/>
      <c r="L251" s="2"/>
      <c r="M251" s="2"/>
      <c r="N251" s="2"/>
      <c r="O251" s="2"/>
      <c r="P251" s="2">
        <f>W132&amp;X132</f>
      </c>
    </row>
    <row r="252" spans="1:16" ht="12.75">
      <c r="A252" s="101" t="str">
        <f>D209&amp;G209</f>
        <v>ANSEL         EQU  b'00010001'</v>
      </c>
      <c r="B252" s="102"/>
      <c r="C252" s="2"/>
      <c r="D252" s="38" t="str">
        <f>D197</f>
        <v>Configuration du registre ANSEL  (Selection de registre analogique )</v>
      </c>
      <c r="E252" s="2"/>
      <c r="F252" s="2"/>
      <c r="G252" s="2"/>
      <c r="H252" s="2"/>
      <c r="I252" s="39"/>
      <c r="J252" s="4" t="s">
        <v>216</v>
      </c>
      <c r="K252" s="2"/>
      <c r="L252" s="2"/>
      <c r="M252" s="2"/>
      <c r="N252" s="2"/>
      <c r="O252" s="2"/>
      <c r="P252" s="2">
        <f>W148&amp;X148</f>
      </c>
    </row>
    <row r="253" spans="1:16" ht="13.5" thickBot="1">
      <c r="A253" s="103" t="str">
        <f>D225&amp;G225</f>
        <v>PIR1        EQU  b'00000000'</v>
      </c>
      <c r="B253" s="104"/>
      <c r="C253" s="2"/>
      <c r="D253" s="41" t="str">
        <f>D213</f>
        <v>Configuration du registre PIR1   ( état des interruptions  ) doit etre initialisé par le programme </v>
      </c>
      <c r="E253" s="42"/>
      <c r="F253" s="42"/>
      <c r="G253" s="42"/>
      <c r="H253" s="42"/>
      <c r="I253" s="43"/>
      <c r="J253" s="2"/>
      <c r="K253" s="2"/>
      <c r="L253" s="2"/>
      <c r="M253" s="2"/>
      <c r="N253" s="2"/>
      <c r="O253" s="2"/>
      <c r="P253" s="2">
        <f>W162&amp;X162</f>
      </c>
    </row>
    <row r="254" spans="1:16" ht="13.5" thickBot="1">
      <c r="A254" s="4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>
        <f>W178&amp;X178</f>
      </c>
    </row>
    <row r="255" spans="1:16" ht="12.75">
      <c r="A255" s="99" t="str">
        <f>H41&amp;I41</f>
        <v>OPTION_REG =  %01000011</v>
      </c>
      <c r="B255" s="100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>
        <f>W194&amp;X194</f>
      </c>
    </row>
    <row r="256" spans="1:16" ht="12.75">
      <c r="A256" s="101" t="str">
        <f>H54&amp;I54</f>
        <v>TRISIO=  %00101000</v>
      </c>
      <c r="B256" s="10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ht="12.75">
      <c r="A257" s="101" t="str">
        <f>H67&amp;I67</f>
        <v>WPU=  %00000000</v>
      </c>
      <c r="B257" s="10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ht="12.75">
      <c r="A258" s="101" t="str">
        <f>H76&amp;I76</f>
        <v>OSCCAL=  %10000000</v>
      </c>
      <c r="B258" s="10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3" ht="12.75">
      <c r="A259" s="101" t="str">
        <f>H89&amp;I89</f>
        <v>INTCON=  %00000000</v>
      </c>
      <c r="B259" s="10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2.75">
      <c r="A260" s="101" t="str">
        <f>H102&amp;I102</f>
        <v>IOC=  %00000000</v>
      </c>
      <c r="B260" s="10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2.75">
      <c r="A261" s="101" t="str">
        <f>H115&amp;I115</f>
        <v>PIE1=  %00000000</v>
      </c>
      <c r="B261" s="10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2.75">
      <c r="A262" s="101" t="str">
        <f>H132&amp;I132</f>
        <v>CMCON=  %00010100</v>
      </c>
      <c r="B262" s="10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2.75">
      <c r="A263" s="101" t="str">
        <f>H148&amp;I148</f>
        <v>VRCON=  %10001101</v>
      </c>
      <c r="B263" s="10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2.75">
      <c r="A264" s="101" t="str">
        <f>H177&amp;I177</f>
        <v>T1CON=  %00100001</v>
      </c>
      <c r="B264" s="10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2.75">
      <c r="A265" s="101" t="str">
        <f>H193&amp;I193</f>
        <v>ADCON0=  %00001101</v>
      </c>
      <c r="B265" s="10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2.75">
      <c r="A266" s="101" t="str">
        <f>H209&amp;I209</f>
        <v>ANSEL=  %00010001</v>
      </c>
      <c r="B266" s="10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3.5" thickBot="1">
      <c r="A267" s="103" t="str">
        <f>H225&amp;I225</f>
        <v>PIR1=  %00000000</v>
      </c>
      <c r="B267" s="104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</sheetData>
  <sheetProtection sheet="1" objects="1" scenarios="1"/>
  <conditionalFormatting sqref="D8:D9">
    <cfRule type="cellIs" priority="1" dxfId="0" operator="equal" stopIfTrue="1">
      <formula>1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scale="12" r:id="rId4"/>
  <rowBreaks count="6" manualBreakCount="6">
    <brk id="25" max="18" man="1"/>
    <brk id="67" max="18" man="1"/>
    <brk id="102" max="18" man="1"/>
    <brk id="148" max="18" man="1"/>
    <brk id="195" max="18" man="1"/>
    <brk id="213" max="1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9"/>
  <sheetViews>
    <sheetView workbookViewId="0" topLeftCell="A1">
      <selection activeCell="F121" sqref="F121"/>
    </sheetView>
  </sheetViews>
  <sheetFormatPr defaultColWidth="11.421875" defaultRowHeight="12.75"/>
  <cols>
    <col min="1" max="1" width="15.140625" style="0" customWidth="1"/>
    <col min="2" max="2" width="16.7109375" style="0" customWidth="1"/>
    <col min="3" max="3" width="10.140625" style="0" customWidth="1"/>
    <col min="4" max="4" width="11.8515625" style="0" customWidth="1"/>
    <col min="5" max="5" width="11.57421875" style="0" customWidth="1"/>
    <col min="6" max="6" width="16.421875" style="0" customWidth="1"/>
    <col min="7" max="7" width="34.00390625" style="0" customWidth="1"/>
    <col min="8" max="8" width="21.00390625" style="0" customWidth="1"/>
    <col min="9" max="9" width="6.140625" style="0" customWidth="1"/>
    <col min="10" max="10" width="58.7109375" style="190" customWidth="1"/>
    <col min="11" max="13" width="6.00390625" style="0" customWidth="1"/>
    <col min="14" max="14" width="6.00390625" style="0" hidden="1" customWidth="1"/>
    <col min="15" max="15" width="5.8515625" style="0" hidden="1" customWidth="1"/>
    <col min="16" max="18" width="7.57421875" style="0" hidden="1" customWidth="1"/>
    <col min="19" max="19" width="18.57421875" style="0" hidden="1" customWidth="1"/>
    <col min="20" max="20" width="8.28125" style="0" hidden="1" customWidth="1"/>
    <col min="21" max="28" width="6.00390625" style="0" hidden="1" customWidth="1"/>
    <col min="29" max="29" width="4.7109375" style="0" hidden="1" customWidth="1"/>
    <col min="30" max="36" width="11.421875" style="0" hidden="1" customWidth="1"/>
  </cols>
  <sheetData>
    <row r="1" spans="1:26" ht="12.75">
      <c r="A1" s="247"/>
      <c r="B1" s="35"/>
      <c r="C1" s="35"/>
      <c r="D1" s="35"/>
      <c r="E1" s="222"/>
      <c r="F1" s="2" t="s">
        <v>303</v>
      </c>
      <c r="G1" s="222"/>
      <c r="H1" s="222"/>
      <c r="I1" s="35"/>
      <c r="J1" s="37"/>
      <c r="K1" s="2"/>
      <c r="L1" s="2"/>
      <c r="M1" s="2"/>
      <c r="N1" s="2"/>
      <c r="Q1" s="197">
        <f>SUM(AG8:AJ8)</f>
        <v>1</v>
      </c>
      <c r="R1" s="198">
        <f>Q1/16</f>
        <v>0.0625</v>
      </c>
      <c r="S1" s="198">
        <f>INT(R1)</f>
        <v>0</v>
      </c>
      <c r="T1" s="198">
        <f aca="true" t="shared" si="0" ref="T1:T16">Q1-(16*S1)</f>
        <v>1</v>
      </c>
      <c r="U1" s="199">
        <f>IF(T1=10,"A",IF(T1=11,"B",IF(T1=12,"C",IF(T1=13,"D",IF(T1=14,"E",IF(T1=15,"F",T1))))))</f>
        <v>1</v>
      </c>
      <c r="W1">
        <v>0</v>
      </c>
      <c r="X1">
        <v>0</v>
      </c>
      <c r="Y1">
        <v>0</v>
      </c>
      <c r="Z1">
        <v>0</v>
      </c>
    </row>
    <row r="2" spans="2:26" ht="12.75">
      <c r="B2" s="2"/>
      <c r="C2" s="2"/>
      <c r="D2" s="2"/>
      <c r="E2" s="2"/>
      <c r="F2" s="1"/>
      <c r="G2" s="2"/>
      <c r="H2" s="2"/>
      <c r="I2" s="2"/>
      <c r="J2" s="39"/>
      <c r="K2" s="2"/>
      <c r="L2" s="2"/>
      <c r="M2" s="2"/>
      <c r="N2" s="2"/>
      <c r="Q2" s="198">
        <f>S1</f>
        <v>0</v>
      </c>
      <c r="R2" s="198">
        <f aca="true" t="shared" si="1" ref="R2:R16">Q2/16</f>
        <v>0</v>
      </c>
      <c r="S2" s="198">
        <f aca="true" t="shared" si="2" ref="S2:S16">INT(R2)</f>
        <v>0</v>
      </c>
      <c r="T2" s="198">
        <f t="shared" si="0"/>
        <v>0</v>
      </c>
      <c r="U2" s="199">
        <f aca="true" t="shared" si="3" ref="U2:U16">IF(T2=10,"A",IF(T2=11,"B",IF(T2=12,"C",IF(T2=13,"D",IF(T2=14,"E",IF(T2=15,"F",T2))))))</f>
        <v>0</v>
      </c>
      <c r="W2">
        <v>0</v>
      </c>
      <c r="X2">
        <v>1</v>
      </c>
      <c r="Y2">
        <v>0</v>
      </c>
      <c r="Z2">
        <v>1</v>
      </c>
    </row>
    <row r="3" spans="1:26" ht="18">
      <c r="A3" s="38" t="s">
        <v>307</v>
      </c>
      <c r="B3" s="2"/>
      <c r="C3" s="6" t="s">
        <v>219</v>
      </c>
      <c r="D3" s="2"/>
      <c r="E3" s="2"/>
      <c r="F3" s="2"/>
      <c r="G3" s="2"/>
      <c r="H3" s="2"/>
      <c r="I3" s="2"/>
      <c r="J3" s="39"/>
      <c r="K3" s="2"/>
      <c r="L3" s="2"/>
      <c r="M3" s="2"/>
      <c r="N3" s="2"/>
      <c r="Q3" s="198">
        <f>S2</f>
        <v>0</v>
      </c>
      <c r="R3" s="198">
        <f t="shared" si="1"/>
        <v>0</v>
      </c>
      <c r="S3" s="198">
        <f t="shared" si="2"/>
        <v>0</v>
      </c>
      <c r="T3" s="198">
        <f t="shared" si="0"/>
        <v>0</v>
      </c>
      <c r="U3" s="199">
        <f t="shared" si="3"/>
        <v>0</v>
      </c>
      <c r="W3">
        <v>1</v>
      </c>
      <c r="X3">
        <v>0</v>
      </c>
      <c r="Y3">
        <v>1</v>
      </c>
      <c r="Z3">
        <v>0</v>
      </c>
    </row>
    <row r="4" spans="1:26" ht="12.75">
      <c r="A4" s="38"/>
      <c r="D4" s="2"/>
      <c r="E4" s="2"/>
      <c r="G4" s="2"/>
      <c r="H4" s="2"/>
      <c r="I4" s="2"/>
      <c r="J4" s="223"/>
      <c r="K4" s="2"/>
      <c r="L4" s="2"/>
      <c r="M4" s="2"/>
      <c r="N4" s="2"/>
      <c r="Q4" s="198">
        <f>S3</f>
        <v>0</v>
      </c>
      <c r="R4" s="198">
        <f t="shared" si="1"/>
        <v>0</v>
      </c>
      <c r="S4" s="198">
        <f t="shared" si="2"/>
        <v>0</v>
      </c>
      <c r="T4" s="198">
        <f t="shared" si="0"/>
        <v>0</v>
      </c>
      <c r="U4" s="199">
        <f t="shared" si="3"/>
        <v>0</v>
      </c>
      <c r="W4">
        <v>1</v>
      </c>
      <c r="X4">
        <v>1</v>
      </c>
      <c r="Y4">
        <v>1</v>
      </c>
      <c r="Z4">
        <v>1</v>
      </c>
    </row>
    <row r="5" spans="1:36" ht="12.75">
      <c r="A5" s="38"/>
      <c r="B5" s="2"/>
      <c r="C5" s="2"/>
      <c r="D5" s="2"/>
      <c r="E5" s="2"/>
      <c r="F5" s="224">
        <v>4</v>
      </c>
      <c r="G5" s="2" t="s">
        <v>257</v>
      </c>
      <c r="H5" s="2"/>
      <c r="I5" s="2"/>
      <c r="J5" s="223"/>
      <c r="K5" s="2"/>
      <c r="L5" s="2"/>
      <c r="M5" s="2"/>
      <c r="N5" s="2"/>
      <c r="Q5" s="203">
        <f>SUM(AC8:AF8)</f>
        <v>3</v>
      </c>
      <c r="R5" s="204">
        <f>Q5/16</f>
        <v>0.1875</v>
      </c>
      <c r="S5" s="204">
        <f>INT(R5)</f>
        <v>0</v>
      </c>
      <c r="T5" s="204">
        <f t="shared" si="0"/>
        <v>3</v>
      </c>
      <c r="U5" s="199">
        <f t="shared" si="3"/>
        <v>3</v>
      </c>
      <c r="W5" s="193" t="s">
        <v>245</v>
      </c>
      <c r="X5" s="193" t="s">
        <v>259</v>
      </c>
      <c r="Y5" s="193" t="s">
        <v>244</v>
      </c>
      <c r="Z5" s="193" t="s">
        <v>243</v>
      </c>
      <c r="AA5" s="215" t="s">
        <v>242</v>
      </c>
      <c r="AB5" s="192" t="s">
        <v>200</v>
      </c>
      <c r="AC5" t="s">
        <v>53</v>
      </c>
      <c r="AD5" t="s">
        <v>29</v>
      </c>
      <c r="AE5" t="s">
        <v>32</v>
      </c>
      <c r="AF5" t="s">
        <v>35</v>
      </c>
      <c r="AG5" t="s">
        <v>39</v>
      </c>
      <c r="AH5" t="s">
        <v>41</v>
      </c>
      <c r="AI5" t="s">
        <v>44</v>
      </c>
      <c r="AJ5" t="s">
        <v>48</v>
      </c>
    </row>
    <row r="6" spans="1:36" ht="12.75">
      <c r="A6" s="38"/>
      <c r="B6" s="2"/>
      <c r="C6" s="2"/>
      <c r="D6" s="2"/>
      <c r="E6" s="2"/>
      <c r="F6" s="224">
        <v>3</v>
      </c>
      <c r="G6" s="2" t="s">
        <v>256</v>
      </c>
      <c r="I6" s="2"/>
      <c r="J6" s="223"/>
      <c r="K6" s="2"/>
      <c r="L6" s="2"/>
      <c r="M6" s="2"/>
      <c r="N6" s="2"/>
      <c r="Q6" s="204">
        <f>S5</f>
        <v>0</v>
      </c>
      <c r="R6" s="204">
        <f t="shared" si="1"/>
        <v>0</v>
      </c>
      <c r="S6" s="204">
        <f t="shared" si="2"/>
        <v>0</v>
      </c>
      <c r="T6" s="204">
        <f t="shared" si="0"/>
        <v>0</v>
      </c>
      <c r="U6" s="199">
        <f t="shared" si="3"/>
        <v>0</v>
      </c>
      <c r="W6" s="194">
        <f>IF(E10=1,1,IF(E10=2,1,0))</f>
        <v>1</v>
      </c>
      <c r="X6" s="194">
        <f>IF(E10=1,1,IF(E10=3,1,0))</f>
        <v>1</v>
      </c>
      <c r="Y6" s="194">
        <f>IF(E10=1,1,IF(E10=2,1,0))</f>
        <v>1</v>
      </c>
      <c r="Z6" s="194">
        <f>IF(E10=1,1,IF(E10=3,1,0))</f>
        <v>1</v>
      </c>
      <c r="AA6" s="215">
        <v>1</v>
      </c>
      <c r="AB6" s="192">
        <f>IF(E11=1,0,1)</f>
        <v>1</v>
      </c>
      <c r="AC6" s="192">
        <f>IF(E12=1,1,0)</f>
        <v>0</v>
      </c>
      <c r="AD6" s="192">
        <f>IF(E13=0,0,1)</f>
        <v>0</v>
      </c>
      <c r="AE6" s="192">
        <f>IF(E14=1,1,0)</f>
        <v>1</v>
      </c>
      <c r="AF6" s="192">
        <f>IF(E17=0,1,IF(E17=1,1,IF(E17=3,1,IF(E17=4,1,0))))</f>
        <v>1</v>
      </c>
      <c r="AG6" s="192">
        <f>IF(E15=1,0,1)</f>
        <v>0</v>
      </c>
      <c r="AH6" s="192">
        <f>IF(E16=1,1,0)</f>
        <v>0</v>
      </c>
      <c r="AI6" s="192">
        <f>IF(E17=2,1,IF(E17=3,1,IF(E17=4,1,IF(E17=7,1,0))))</f>
        <v>0</v>
      </c>
      <c r="AJ6" s="192">
        <f>IF(E17=1,1,IF(E17=2,1,IF(E17=4,1,IF(E17=6,1,0))))</f>
        <v>1</v>
      </c>
    </row>
    <row r="7" spans="1:36" ht="17.25" customHeight="1">
      <c r="A7" s="38"/>
      <c r="B7" s="2"/>
      <c r="C7" s="2"/>
      <c r="D7" s="2"/>
      <c r="E7" s="184"/>
      <c r="F7" s="224">
        <v>2</v>
      </c>
      <c r="G7" s="2" t="s">
        <v>255</v>
      </c>
      <c r="H7" s="5"/>
      <c r="I7" s="2"/>
      <c r="J7" s="223"/>
      <c r="K7" s="2"/>
      <c r="L7" s="2"/>
      <c r="M7" s="2"/>
      <c r="N7" s="2"/>
      <c r="Q7" s="204">
        <f>S6</f>
        <v>0</v>
      </c>
      <c r="R7" s="204">
        <f t="shared" si="1"/>
        <v>0</v>
      </c>
      <c r="S7" s="204">
        <f t="shared" si="2"/>
        <v>0</v>
      </c>
      <c r="T7" s="204">
        <f t="shared" si="0"/>
        <v>0</v>
      </c>
      <c r="U7" s="199">
        <f t="shared" si="3"/>
        <v>0</v>
      </c>
      <c r="W7">
        <v>2</v>
      </c>
      <c r="X7">
        <v>1</v>
      </c>
      <c r="Y7">
        <v>8</v>
      </c>
      <c r="Z7">
        <v>4</v>
      </c>
      <c r="AA7">
        <v>2</v>
      </c>
      <c r="AB7">
        <v>1</v>
      </c>
      <c r="AC7">
        <v>8</v>
      </c>
      <c r="AD7">
        <v>4</v>
      </c>
      <c r="AE7">
        <v>2</v>
      </c>
      <c r="AF7">
        <v>1</v>
      </c>
      <c r="AG7">
        <v>8</v>
      </c>
      <c r="AH7">
        <v>4</v>
      </c>
      <c r="AI7">
        <v>2</v>
      </c>
      <c r="AJ7">
        <v>1</v>
      </c>
    </row>
    <row r="8" spans="1:36" ht="12.75">
      <c r="A8" s="38"/>
      <c r="B8" s="2"/>
      <c r="C8" s="2"/>
      <c r="D8" s="2"/>
      <c r="E8" s="2"/>
      <c r="F8" s="224">
        <v>1</v>
      </c>
      <c r="G8" s="2" t="s">
        <v>254</v>
      </c>
      <c r="H8" s="2"/>
      <c r="I8" s="2"/>
      <c r="J8" s="223"/>
      <c r="K8" s="2"/>
      <c r="L8" s="2"/>
      <c r="M8" s="2"/>
      <c r="N8" s="2"/>
      <c r="Q8" s="204">
        <f>S7</f>
        <v>0</v>
      </c>
      <c r="R8" s="204">
        <f t="shared" si="1"/>
        <v>0</v>
      </c>
      <c r="S8" s="204">
        <f t="shared" si="2"/>
        <v>0</v>
      </c>
      <c r="T8" s="204">
        <f t="shared" si="0"/>
        <v>0</v>
      </c>
      <c r="U8" s="199">
        <f t="shared" si="3"/>
        <v>0</v>
      </c>
      <c r="W8" s="195">
        <f>IF(W6=1,W7,0)</f>
        <v>2</v>
      </c>
      <c r="X8" s="196">
        <f aca="true" t="shared" si="4" ref="X8:AJ8">IF(X6=1,X7,0)</f>
        <v>1</v>
      </c>
      <c r="Y8" s="210">
        <f t="shared" si="4"/>
        <v>8</v>
      </c>
      <c r="Z8" s="211">
        <f t="shared" si="4"/>
        <v>4</v>
      </c>
      <c r="AA8" s="211">
        <f t="shared" si="4"/>
        <v>2</v>
      </c>
      <c r="AB8" s="212">
        <f t="shared" si="4"/>
        <v>1</v>
      </c>
      <c r="AC8" s="205">
        <f t="shared" si="4"/>
        <v>0</v>
      </c>
      <c r="AD8" s="206">
        <f t="shared" si="4"/>
        <v>0</v>
      </c>
      <c r="AE8" s="206">
        <f t="shared" si="4"/>
        <v>2</v>
      </c>
      <c r="AF8" s="207">
        <f t="shared" si="4"/>
        <v>1</v>
      </c>
      <c r="AG8" s="200">
        <f t="shared" si="4"/>
        <v>0</v>
      </c>
      <c r="AH8" s="201">
        <f t="shared" si="4"/>
        <v>0</v>
      </c>
      <c r="AI8" s="201">
        <f t="shared" si="4"/>
        <v>0</v>
      </c>
      <c r="AJ8" s="202">
        <f t="shared" si="4"/>
        <v>1</v>
      </c>
    </row>
    <row r="9" spans="1:21" ht="13.5" thickBot="1">
      <c r="A9" s="38"/>
      <c r="B9" s="2"/>
      <c r="C9" s="2"/>
      <c r="D9" s="2"/>
      <c r="E9" s="2"/>
      <c r="F9" s="2"/>
      <c r="G9" s="2"/>
      <c r="H9" s="2"/>
      <c r="I9" s="2"/>
      <c r="J9" s="223"/>
      <c r="K9" s="2"/>
      <c r="L9" s="2"/>
      <c r="M9" s="2"/>
      <c r="N9" s="2"/>
      <c r="Q9" s="208">
        <f>SUM(Y8:AB8)</f>
        <v>15</v>
      </c>
      <c r="R9" s="209">
        <f>Q9/16</f>
        <v>0.9375</v>
      </c>
      <c r="S9" s="209">
        <f>INT(R9)</f>
        <v>0</v>
      </c>
      <c r="T9" s="209">
        <f t="shared" si="0"/>
        <v>15</v>
      </c>
      <c r="U9" s="199" t="str">
        <f t="shared" si="3"/>
        <v>F</v>
      </c>
    </row>
    <row r="10" spans="1:30" ht="12.75">
      <c r="A10" s="38"/>
      <c r="B10" s="2"/>
      <c r="C10" s="2"/>
      <c r="D10" s="2" t="s">
        <v>260</v>
      </c>
      <c r="E10" s="189">
        <v>1</v>
      </c>
      <c r="F10" s="111" t="str">
        <f>IF(E10=1,"_CP_OFF",IF(E10=2,G7,IF(E10=3,G6,IF(E10=4,G5,""))))</f>
        <v>_CP_OFF</v>
      </c>
      <c r="G10" s="31" t="s">
        <v>301</v>
      </c>
      <c r="I10" s="2"/>
      <c r="J10" s="223"/>
      <c r="K10" s="2"/>
      <c r="L10" s="2"/>
      <c r="M10" s="2"/>
      <c r="N10" s="2"/>
      <c r="Q10" s="209">
        <f>S9</f>
        <v>0</v>
      </c>
      <c r="R10" s="209">
        <f t="shared" si="1"/>
        <v>0</v>
      </c>
      <c r="S10" s="209">
        <f t="shared" si="2"/>
        <v>0</v>
      </c>
      <c r="T10" s="209">
        <f t="shared" si="0"/>
        <v>0</v>
      </c>
      <c r="U10" s="199">
        <f t="shared" si="3"/>
        <v>0</v>
      </c>
      <c r="AD10" s="2"/>
    </row>
    <row r="11" spans="1:21" ht="12.75">
      <c r="A11" s="38"/>
      <c r="B11" s="2"/>
      <c r="C11" s="2"/>
      <c r="D11" s="2" t="s">
        <v>200</v>
      </c>
      <c r="E11" s="188">
        <v>0</v>
      </c>
      <c r="F11" s="111" t="str">
        <f>IF(E11=1,"_DATA_CP_ON","_DATA_CP_OFF")</f>
        <v>_DATA_CP_OFF</v>
      </c>
      <c r="G11" s="92" t="str">
        <f>IF(E11=1,"Protection DATA active ","Protection DATA inactive ")</f>
        <v>Protection DATA inactive </v>
      </c>
      <c r="H11" s="2"/>
      <c r="I11" s="2"/>
      <c r="J11" s="223"/>
      <c r="K11" s="2"/>
      <c r="L11" s="2"/>
      <c r="M11" s="2"/>
      <c r="N11" s="2"/>
      <c r="Q11" s="209">
        <f>S10</f>
        <v>0</v>
      </c>
      <c r="R11" s="209">
        <f t="shared" si="1"/>
        <v>0</v>
      </c>
      <c r="S11" s="209">
        <f t="shared" si="2"/>
        <v>0</v>
      </c>
      <c r="T11" s="209">
        <f t="shared" si="0"/>
        <v>0</v>
      </c>
      <c r="U11" s="199">
        <f t="shared" si="3"/>
        <v>0</v>
      </c>
    </row>
    <row r="12" spans="1:21" ht="12.75">
      <c r="A12" s="38"/>
      <c r="B12" s="2"/>
      <c r="C12" s="2"/>
      <c r="D12" s="2" t="s">
        <v>53</v>
      </c>
      <c r="E12" s="188">
        <v>0</v>
      </c>
      <c r="F12" s="111" t="str">
        <f>IF(E12=1,"_LVP_ON","_LVP_OFF")</f>
        <v>_LVP_OFF</v>
      </c>
      <c r="G12" s="92" t="s">
        <v>261</v>
      </c>
      <c r="H12" s="2"/>
      <c r="I12" s="2"/>
      <c r="J12" s="223"/>
      <c r="K12" s="2"/>
      <c r="L12" s="2"/>
      <c r="M12" s="2"/>
      <c r="N12" s="2"/>
      <c r="Q12" s="209">
        <f>S11</f>
        <v>0</v>
      </c>
      <c r="R12" s="209">
        <f t="shared" si="1"/>
        <v>0</v>
      </c>
      <c r="S12" s="209">
        <f t="shared" si="2"/>
        <v>0</v>
      </c>
      <c r="T12" s="209">
        <f t="shared" si="0"/>
        <v>0</v>
      </c>
      <c r="U12" s="199">
        <f t="shared" si="3"/>
        <v>0</v>
      </c>
    </row>
    <row r="13" spans="1:21" ht="12.75">
      <c r="A13" s="38"/>
      <c r="B13" s="2"/>
      <c r="C13" s="2"/>
      <c r="D13" s="2" t="s">
        <v>29</v>
      </c>
      <c r="E13" s="188">
        <v>0</v>
      </c>
      <c r="F13" s="111" t="str">
        <f>IF(E13=1,"_BODEN_ON","_BODEN_OFF")</f>
        <v>_BODEN_OFF</v>
      </c>
      <c r="G13" s="92" t="str">
        <f>IF(E13=1,"Reset tension basse active ","Reset tension basse inactive  ")</f>
        <v>Reset tension basse inactive  </v>
      </c>
      <c r="H13" s="17"/>
      <c r="I13" s="2"/>
      <c r="J13" s="223"/>
      <c r="K13" s="2"/>
      <c r="L13" s="2"/>
      <c r="M13" s="2"/>
      <c r="N13" s="2"/>
      <c r="Q13" s="213">
        <f>SUM(W8:X8)</f>
        <v>3</v>
      </c>
      <c r="R13" s="214">
        <f>Q13/16</f>
        <v>0.1875</v>
      </c>
      <c r="S13" s="214">
        <f>INT(R13)</f>
        <v>0</v>
      </c>
      <c r="T13" s="214">
        <f t="shared" si="0"/>
        <v>3</v>
      </c>
      <c r="U13" s="199">
        <f t="shared" si="3"/>
        <v>3</v>
      </c>
    </row>
    <row r="14" spans="1:21" ht="12.75">
      <c r="A14" s="38"/>
      <c r="B14" s="2"/>
      <c r="C14" s="2"/>
      <c r="D14" s="2" t="s">
        <v>32</v>
      </c>
      <c r="E14" s="188">
        <v>1</v>
      </c>
      <c r="F14" s="111" t="str">
        <f>IF(E14=1,"_MCLRE_ON","_MCLRE_OFF")</f>
        <v>_MCLRE_ON</v>
      </c>
      <c r="G14" s="92" t="str">
        <f>IF(E14=1,"RA5/MCLR est utilisé pour le RESET","RA5/MCLR est utilisé comme entree ")</f>
        <v>RA5/MCLR est utilisé pour le RESET</v>
      </c>
      <c r="H14" s="2"/>
      <c r="I14" s="2"/>
      <c r="J14" s="223"/>
      <c r="K14" s="2"/>
      <c r="L14" s="2"/>
      <c r="M14" s="2"/>
      <c r="N14" s="2"/>
      <c r="Q14" s="214">
        <f>S13</f>
        <v>0</v>
      </c>
      <c r="R14" s="214">
        <f t="shared" si="1"/>
        <v>0</v>
      </c>
      <c r="S14" s="214">
        <f t="shared" si="2"/>
        <v>0</v>
      </c>
      <c r="T14" s="214">
        <f t="shared" si="0"/>
        <v>0</v>
      </c>
      <c r="U14" s="199">
        <f t="shared" si="3"/>
        <v>0</v>
      </c>
    </row>
    <row r="15" spans="1:21" ht="12.75">
      <c r="A15" s="38"/>
      <c r="B15" s="2"/>
      <c r="C15" s="2"/>
      <c r="D15" s="2" t="s">
        <v>39</v>
      </c>
      <c r="E15" s="188">
        <v>1</v>
      </c>
      <c r="F15" s="111" t="str">
        <f>IF(E15=1,"_PWRTE_ON","_PWRTE_OFF")</f>
        <v>_PWRTE_ON</v>
      </c>
      <c r="G15" s="92" t="str">
        <f>IF(E15=1,"Demarrage temporisé 72µs","Demarrage rapide")</f>
        <v>Demarrage temporisé 72µs</v>
      </c>
      <c r="H15" s="2"/>
      <c r="I15" s="2"/>
      <c r="J15" s="223"/>
      <c r="K15" s="2"/>
      <c r="L15" s="2"/>
      <c r="M15" s="2"/>
      <c r="N15" s="2"/>
      <c r="Q15" s="214">
        <f>S14</f>
        <v>0</v>
      </c>
      <c r="R15" s="214">
        <f t="shared" si="1"/>
        <v>0</v>
      </c>
      <c r="S15" s="214">
        <f t="shared" si="2"/>
        <v>0</v>
      </c>
      <c r="T15" s="214">
        <f t="shared" si="0"/>
        <v>0</v>
      </c>
      <c r="U15" s="199">
        <f t="shared" si="3"/>
        <v>0</v>
      </c>
    </row>
    <row r="16" spans="1:21" ht="12.75">
      <c r="A16" s="38"/>
      <c r="B16" s="2"/>
      <c r="C16" s="2"/>
      <c r="D16" s="2" t="s">
        <v>41</v>
      </c>
      <c r="E16" s="56">
        <v>0</v>
      </c>
      <c r="F16" s="111" t="str">
        <f>IF(E16=1,"_WDT_ON","_WDT_OFF")</f>
        <v>_WDT_OFF</v>
      </c>
      <c r="G16" s="92" t="str">
        <f>IF(E16=1,"Watchdog en service","Watchdog hors service")</f>
        <v>Watchdog hors service</v>
      </c>
      <c r="H16" s="2"/>
      <c r="I16" s="2"/>
      <c r="J16" s="223"/>
      <c r="K16" s="2"/>
      <c r="L16" s="2"/>
      <c r="M16" s="2"/>
      <c r="N16" s="2"/>
      <c r="Q16" s="214">
        <f>S15</f>
        <v>0</v>
      </c>
      <c r="R16" s="214">
        <f t="shared" si="1"/>
        <v>0</v>
      </c>
      <c r="S16" s="214">
        <f t="shared" si="2"/>
        <v>0</v>
      </c>
      <c r="T16" s="214">
        <f t="shared" si="0"/>
        <v>0</v>
      </c>
      <c r="U16" s="199">
        <f t="shared" si="3"/>
        <v>0</v>
      </c>
    </row>
    <row r="17" spans="1:14" ht="13.5" thickBot="1">
      <c r="A17" s="38"/>
      <c r="B17" s="2"/>
      <c r="C17" s="2"/>
      <c r="D17" s="2" t="s">
        <v>258</v>
      </c>
      <c r="E17" s="57">
        <v>1</v>
      </c>
      <c r="F17" s="111" t="str">
        <f>IF(E17=0,G19,IF(E17=F20,G20,IF(E17=F21,G21,IF(E17=F22,G22,IF(E17=F23,G23,IF(E17=F24,G24,IF(E17=F25,G25,IF(E17=F26,G26))))))))</f>
        <v>_INTRC_OSC_CLKOUT</v>
      </c>
      <c r="G17" s="2"/>
      <c r="I17" s="2"/>
      <c r="J17" s="223"/>
      <c r="K17" s="2"/>
      <c r="L17" s="2"/>
      <c r="M17" s="2"/>
      <c r="N17" s="2"/>
    </row>
    <row r="18" spans="1:14" ht="15.75">
      <c r="A18" s="38"/>
      <c r="B18" s="2"/>
      <c r="C18" s="2"/>
      <c r="D18" s="2"/>
      <c r="E18" s="178" t="str">
        <f>T19</f>
        <v>3F31</v>
      </c>
      <c r="F18" s="2"/>
      <c r="G18" s="2"/>
      <c r="H18" s="2"/>
      <c r="I18" s="2"/>
      <c r="J18" s="223"/>
      <c r="K18" s="2"/>
      <c r="L18" s="2"/>
      <c r="M18" s="2"/>
      <c r="N18" s="2"/>
    </row>
    <row r="19" spans="1:20" ht="18">
      <c r="A19" s="38"/>
      <c r="B19" s="2"/>
      <c r="C19" s="2"/>
      <c r="D19" s="2"/>
      <c r="E19" s="2"/>
      <c r="F19" s="232">
        <v>0</v>
      </c>
      <c r="G19" s="2" t="s">
        <v>7</v>
      </c>
      <c r="H19" s="11" t="s">
        <v>246</v>
      </c>
      <c r="I19" s="223"/>
      <c r="J19" s="223"/>
      <c r="K19" s="2"/>
      <c r="L19" s="2"/>
      <c r="M19" s="2"/>
      <c r="N19" s="2"/>
      <c r="Q19" s="179" t="s">
        <v>203</v>
      </c>
      <c r="T19" s="216" t="str">
        <f>U13&amp;U9&amp;U5&amp;U1</f>
        <v>3F31</v>
      </c>
    </row>
    <row r="20" spans="1:14" ht="12.75">
      <c r="A20" s="38"/>
      <c r="B20" s="2"/>
      <c r="C20" s="2"/>
      <c r="D20" s="2"/>
      <c r="E20" s="2"/>
      <c r="F20" s="232">
        <v>1</v>
      </c>
      <c r="G20" s="2" t="s">
        <v>9</v>
      </c>
      <c r="H20" s="11" t="s">
        <v>247</v>
      </c>
      <c r="I20" s="223"/>
      <c r="J20" s="223"/>
      <c r="K20" s="2"/>
      <c r="L20" s="2"/>
      <c r="M20" s="2"/>
      <c r="N20" s="2"/>
    </row>
    <row r="21" spans="1:14" ht="12.75">
      <c r="A21" s="38"/>
      <c r="B21" s="2"/>
      <c r="C21" s="2"/>
      <c r="D21" s="2"/>
      <c r="E21" s="2"/>
      <c r="F21" s="232">
        <v>2</v>
      </c>
      <c r="G21" s="2" t="s">
        <v>248</v>
      </c>
      <c r="H21" s="11" t="s">
        <v>249</v>
      </c>
      <c r="I21" s="223"/>
      <c r="J21" s="223"/>
      <c r="K21" s="2"/>
      <c r="L21" s="2"/>
      <c r="M21" s="2"/>
      <c r="N21" s="2"/>
    </row>
    <row r="22" spans="1:14" ht="12.75">
      <c r="A22" s="38"/>
      <c r="B22" s="2"/>
      <c r="C22" s="2"/>
      <c r="D22" s="2"/>
      <c r="E22" s="2"/>
      <c r="F22" s="232">
        <v>3</v>
      </c>
      <c r="G22" s="2" t="s">
        <v>250</v>
      </c>
      <c r="H22" s="11" t="s">
        <v>251</v>
      </c>
      <c r="I22" s="223"/>
      <c r="J22" s="223"/>
      <c r="K22" s="2"/>
      <c r="L22" s="2"/>
      <c r="M22" s="2"/>
      <c r="N22" s="2"/>
    </row>
    <row r="23" spans="1:14" ht="12.75">
      <c r="A23" s="38"/>
      <c r="B23" s="2"/>
      <c r="C23" s="2"/>
      <c r="D23" s="2"/>
      <c r="E23" s="2"/>
      <c r="F23" s="232">
        <v>4</v>
      </c>
      <c r="G23" s="31" t="s">
        <v>252</v>
      </c>
      <c r="H23" s="191" t="s">
        <v>253</v>
      </c>
      <c r="I23" s="223"/>
      <c r="J23" s="223"/>
      <c r="K23" s="2"/>
      <c r="L23" s="2"/>
      <c r="M23" s="2"/>
      <c r="N23" s="2"/>
    </row>
    <row r="24" spans="1:14" ht="12.75">
      <c r="A24" s="38"/>
      <c r="B24" s="2"/>
      <c r="C24" s="2"/>
      <c r="D24" s="2"/>
      <c r="E24" s="2"/>
      <c r="F24" s="232">
        <v>5</v>
      </c>
      <c r="G24" s="2" t="s">
        <v>193</v>
      </c>
      <c r="H24" s="11" t="s">
        <v>17</v>
      </c>
      <c r="I24" s="223"/>
      <c r="J24" s="223"/>
      <c r="K24" s="2"/>
      <c r="L24" s="2"/>
      <c r="M24" s="2"/>
      <c r="N24" s="2"/>
    </row>
    <row r="25" spans="1:14" ht="12.75">
      <c r="A25" s="38"/>
      <c r="B25" s="2"/>
      <c r="C25" s="2"/>
      <c r="D25" s="2"/>
      <c r="E25" s="2"/>
      <c r="F25" s="232">
        <v>6</v>
      </c>
      <c r="G25" s="2" t="s">
        <v>18</v>
      </c>
      <c r="H25" s="11" t="s">
        <v>19</v>
      </c>
      <c r="I25" s="223"/>
      <c r="J25" s="223"/>
      <c r="K25" s="2"/>
      <c r="L25" s="2"/>
      <c r="M25" s="2"/>
      <c r="N25" s="2"/>
    </row>
    <row r="26" spans="1:14" ht="12.75">
      <c r="A26" s="38"/>
      <c r="B26" s="2"/>
      <c r="C26" s="2"/>
      <c r="D26" s="2"/>
      <c r="E26" s="2"/>
      <c r="F26" s="232">
        <v>7</v>
      </c>
      <c r="G26" s="2" t="s">
        <v>20</v>
      </c>
      <c r="H26" s="11" t="s">
        <v>21</v>
      </c>
      <c r="I26" s="223"/>
      <c r="J26" s="223"/>
      <c r="K26" s="2"/>
      <c r="L26" s="2"/>
      <c r="M26" s="2"/>
      <c r="N26" s="2"/>
    </row>
    <row r="27" spans="1:14" ht="18">
      <c r="A27" s="38"/>
      <c r="B27" s="2"/>
      <c r="C27" s="2"/>
      <c r="D27" s="217" t="str">
        <f>Q19&amp;T19</f>
        <v>Define CONF_WORD = 0x3F31</v>
      </c>
      <c r="E27" s="92"/>
      <c r="F27" s="92"/>
      <c r="G27" s="92"/>
      <c r="H27" s="2"/>
      <c r="I27" s="2"/>
      <c r="J27" s="223"/>
      <c r="K27" s="2"/>
      <c r="L27" s="2"/>
      <c r="M27" s="2"/>
      <c r="N27" s="2"/>
    </row>
    <row r="28" spans="2:14" ht="12.75">
      <c r="B28" s="2"/>
      <c r="C28" s="2"/>
      <c r="D28" s="2"/>
      <c r="E28" s="2"/>
      <c r="F28" s="2"/>
      <c r="G28" s="2"/>
      <c r="H28" s="2"/>
      <c r="I28" s="2"/>
      <c r="J28" s="223"/>
      <c r="K28" s="2"/>
      <c r="L28" s="2"/>
      <c r="M28" s="2"/>
      <c r="N28" s="2"/>
    </row>
    <row r="29" spans="1:14" ht="12.75">
      <c r="A29" s="38"/>
      <c r="B29" s="2"/>
      <c r="C29" s="2"/>
      <c r="D29" s="2"/>
      <c r="E29" s="2"/>
      <c r="F29" s="2"/>
      <c r="G29" s="2"/>
      <c r="H29" s="2"/>
      <c r="I29" s="2"/>
      <c r="J29" s="223"/>
      <c r="K29" s="2"/>
      <c r="L29" s="2"/>
      <c r="M29" s="2"/>
      <c r="N29" s="2"/>
    </row>
    <row r="30" spans="1:14" ht="12.75">
      <c r="A30" s="225" t="str">
        <f>"__CONFIG    "&amp;F10&amp;" &amp; "&amp;F11&amp;" &amp; "&amp;F12&amp;" &amp; "&amp;F13&amp;" &amp; "&amp;F14&amp;" &amp; "&amp;F15&amp;" &amp; "&amp;F16&amp;" &amp; "&amp;F17</f>
        <v>__CONFIG    _CP_OFF &amp; _DATA_CP_OFF &amp; _LVP_OFF &amp; _BODEN_OFF &amp; _MCLRE_ON &amp; _PWRTE_ON &amp; _WDT_OFF &amp; _INTRC_OSC_CLKOUT</v>
      </c>
      <c r="B30" s="2"/>
      <c r="C30" s="2"/>
      <c r="D30" s="2"/>
      <c r="E30" s="2"/>
      <c r="F30" s="2"/>
      <c r="G30" s="2"/>
      <c r="H30" s="2"/>
      <c r="I30" s="2"/>
      <c r="J30" s="223"/>
      <c r="K30" s="2"/>
      <c r="L30" s="2"/>
      <c r="M30" s="2"/>
      <c r="N30" s="2"/>
    </row>
    <row r="31" spans="1:14" ht="13.5" thickBot="1">
      <c r="A31" s="41"/>
      <c r="B31" s="42"/>
      <c r="C31" s="42"/>
      <c r="D31" s="42"/>
      <c r="E31" s="42"/>
      <c r="F31" s="42"/>
      <c r="G31" s="42"/>
      <c r="H31" s="42"/>
      <c r="I31" s="42"/>
      <c r="J31" s="230"/>
      <c r="K31" s="2"/>
      <c r="L31" s="2"/>
      <c r="M31" s="2"/>
      <c r="N31" s="2"/>
    </row>
    <row r="32" spans="1:14" ht="18">
      <c r="A32" s="34"/>
      <c r="B32" s="35"/>
      <c r="C32" s="35"/>
      <c r="D32" s="35"/>
      <c r="E32" s="35"/>
      <c r="F32" s="6" t="s">
        <v>219</v>
      </c>
      <c r="G32" s="35"/>
      <c r="H32" s="35"/>
      <c r="I32" s="35"/>
      <c r="J32" s="231"/>
      <c r="K32" s="2"/>
      <c r="L32" s="2"/>
      <c r="M32" s="2"/>
      <c r="N32" s="2"/>
    </row>
    <row r="33" spans="1:14" ht="12.75">
      <c r="A33" s="38" t="s">
        <v>307</v>
      </c>
      <c r="B33" s="2"/>
      <c r="E33" s="2"/>
      <c r="F33" s="2"/>
      <c r="G33" s="2"/>
      <c r="H33" s="2"/>
      <c r="I33" s="2"/>
      <c r="J33" s="39"/>
      <c r="K33" s="2"/>
      <c r="L33" s="2"/>
      <c r="M33" s="2"/>
      <c r="N33" s="2"/>
    </row>
    <row r="34" spans="1:14" ht="13.5" thickBot="1">
      <c r="A34" s="38"/>
      <c r="B34" s="2"/>
      <c r="C34" s="10" t="s">
        <v>24</v>
      </c>
      <c r="D34" s="5" t="s">
        <v>213</v>
      </c>
      <c r="E34" s="2"/>
      <c r="F34" s="2"/>
      <c r="G34" s="2"/>
      <c r="H34" s="2"/>
      <c r="I34" s="2"/>
      <c r="J34" s="39"/>
      <c r="K34" s="2"/>
      <c r="L34" s="2"/>
      <c r="M34" s="2"/>
      <c r="N34" s="2"/>
    </row>
    <row r="35" spans="1:14" ht="15.75">
      <c r="A35" s="38" t="s">
        <v>25</v>
      </c>
      <c r="B35" s="2"/>
      <c r="C35" s="2"/>
      <c r="D35" s="2" t="s">
        <v>26</v>
      </c>
      <c r="E35" s="2" t="s">
        <v>262</v>
      </c>
      <c r="F35" s="58">
        <v>0</v>
      </c>
      <c r="G35" s="92" t="str">
        <f>IF(F35=0,"Resistance Pull-Up activées sur le port B ","Resistance Pull-Up désactivées sur le port B")</f>
        <v>Resistance Pull-Up activées sur le port B </v>
      </c>
      <c r="H35" s="2"/>
      <c r="I35" s="2"/>
      <c r="J35" s="39"/>
      <c r="K35" s="2"/>
      <c r="L35" s="2"/>
      <c r="M35" s="2"/>
      <c r="N35" s="2"/>
    </row>
    <row r="36" spans="1:14" ht="15.75">
      <c r="A36" s="38" t="s">
        <v>28</v>
      </c>
      <c r="B36" s="2"/>
      <c r="C36" s="2"/>
      <c r="D36" s="2" t="s">
        <v>29</v>
      </c>
      <c r="E36" s="2" t="s">
        <v>263</v>
      </c>
      <c r="F36" s="59">
        <v>0</v>
      </c>
      <c r="G36" s="93" t="str">
        <f>IF(F36=0,"Intérruption sur front Descendant de RB0","Intérruption sur front Montant de RB0")</f>
        <v>Intérruption sur front Descendant de RB0</v>
      </c>
      <c r="H36" s="2"/>
      <c r="I36" s="2"/>
      <c r="J36" s="39"/>
      <c r="K36" s="2"/>
      <c r="L36" s="2"/>
      <c r="M36" s="2"/>
      <c r="N36" s="2"/>
    </row>
    <row r="37" spans="1:14" ht="15.75">
      <c r="A37" s="124">
        <v>0.000256</v>
      </c>
      <c r="B37" s="2" t="s">
        <v>31</v>
      </c>
      <c r="C37" s="2"/>
      <c r="D37" s="12" t="s">
        <v>32</v>
      </c>
      <c r="E37" s="2" t="s">
        <v>33</v>
      </c>
      <c r="F37" s="60">
        <v>0</v>
      </c>
      <c r="G37" s="93" t="str">
        <f>IF(F37=0,"Timer 0 synchronisé par Horloge-interne","Timer 0 synchronisé par Horloge externe RA4")</f>
        <v>Timer 0 synchronisé par Horloge-interne</v>
      </c>
      <c r="H37" s="2"/>
      <c r="I37" s="2"/>
      <c r="J37" s="223"/>
      <c r="K37" s="2"/>
      <c r="L37" s="2"/>
      <c r="M37" s="2"/>
      <c r="N37" s="2"/>
    </row>
    <row r="38" spans="1:14" ht="15.75">
      <c r="A38" s="38" t="s">
        <v>34</v>
      </c>
      <c r="B38" s="2"/>
      <c r="C38" s="2"/>
      <c r="D38" s="2" t="s">
        <v>35</v>
      </c>
      <c r="E38" s="2" t="s">
        <v>36</v>
      </c>
      <c r="F38" s="60">
        <v>0</v>
      </c>
      <c r="G38" s="93" t="str">
        <f>IF(F38=0,"Timer 0 synchronisé sur Front-Montant RA4","Timer 0 synchronisé sur Front-Descendant RA4")</f>
        <v>Timer 0 synchronisé sur Front-Montant RA4</v>
      </c>
      <c r="H38" s="2"/>
      <c r="I38" s="226" t="s">
        <v>37</v>
      </c>
      <c r="K38" s="2"/>
      <c r="L38" s="2"/>
      <c r="M38" s="2"/>
      <c r="N38" s="2"/>
    </row>
    <row r="39" spans="1:14" ht="15.75">
      <c r="A39" s="38" t="s">
        <v>38</v>
      </c>
      <c r="B39" s="2"/>
      <c r="C39" s="2"/>
      <c r="D39" s="2" t="s">
        <v>39</v>
      </c>
      <c r="E39" s="2" t="s">
        <v>40</v>
      </c>
      <c r="F39" s="61">
        <v>0</v>
      </c>
      <c r="G39" s="93" t="str">
        <f>IF(F39=0,"Prédiviseur surTimer 0 ","Prédiviseur sur Watchdog")</f>
        <v>Prédiviseur surTimer 0 </v>
      </c>
      <c r="H39" s="2"/>
      <c r="I39" s="2"/>
      <c r="J39" s="227">
        <f>IF(F39=1,2,1)</f>
        <v>1</v>
      </c>
      <c r="K39" s="2"/>
      <c r="L39" s="2"/>
      <c r="M39" s="2"/>
      <c r="N39" s="2"/>
    </row>
    <row r="40" spans="1:14" ht="15.75">
      <c r="A40" s="125">
        <f>A37/H40</f>
        <v>0.000512</v>
      </c>
      <c r="B40" s="2" t="s">
        <v>31</v>
      </c>
      <c r="C40" s="2"/>
      <c r="D40" s="2" t="s">
        <v>41</v>
      </c>
      <c r="E40" s="2" t="s">
        <v>42</v>
      </c>
      <c r="F40" s="61">
        <v>0</v>
      </c>
      <c r="G40" s="94" t="s">
        <v>43</v>
      </c>
      <c r="H40" s="131">
        <f>(J39/J42/J41/J40)/2</f>
        <v>0.5</v>
      </c>
      <c r="I40" s="2"/>
      <c r="J40" s="227">
        <f>IF(F40=0,1,16)</f>
        <v>1</v>
      </c>
      <c r="K40" s="2"/>
      <c r="L40" s="2"/>
      <c r="M40" s="2"/>
      <c r="N40" s="2"/>
    </row>
    <row r="41" spans="1:14" ht="15.75">
      <c r="A41" s="38"/>
      <c r="B41" s="2"/>
      <c r="C41" s="2"/>
      <c r="D41" s="2" t="s">
        <v>44</v>
      </c>
      <c r="E41" s="2" t="s">
        <v>45</v>
      </c>
      <c r="F41" s="61">
        <v>0</v>
      </c>
      <c r="G41" s="218" t="s">
        <v>46</v>
      </c>
      <c r="H41" s="14" t="s">
        <v>47</v>
      </c>
      <c r="I41" s="2"/>
      <c r="J41" s="227">
        <f>IF(F41=0,1,4)</f>
        <v>1</v>
      </c>
      <c r="K41" s="2"/>
      <c r="L41" s="4"/>
      <c r="M41" s="2"/>
      <c r="N41" s="2"/>
    </row>
    <row r="42" spans="1:14" ht="16.5" thickBot="1">
      <c r="A42" s="38"/>
      <c r="B42" s="2"/>
      <c r="C42" s="2"/>
      <c r="D42" s="2" t="s">
        <v>48</v>
      </c>
      <c r="E42" s="2" t="s">
        <v>49</v>
      </c>
      <c r="F42" s="62">
        <v>0</v>
      </c>
      <c r="G42" s="92"/>
      <c r="H42" s="132">
        <f>H40</f>
        <v>0.5</v>
      </c>
      <c r="I42" s="10"/>
      <c r="J42" s="227">
        <f>IF(F42=0,1,2)</f>
        <v>1</v>
      </c>
      <c r="K42" s="2"/>
      <c r="L42" s="2"/>
      <c r="M42" s="2"/>
      <c r="N42" s="2"/>
    </row>
    <row r="43" spans="1:14" ht="15.75">
      <c r="A43" s="38"/>
      <c r="B43" s="2"/>
      <c r="C43" s="2"/>
      <c r="D43" s="2"/>
      <c r="E43" s="2"/>
      <c r="F43" s="15"/>
      <c r="G43" s="2"/>
      <c r="H43" s="2"/>
      <c r="I43" s="16"/>
      <c r="J43" s="39"/>
      <c r="K43" s="2"/>
      <c r="L43" s="2"/>
      <c r="M43" s="2"/>
      <c r="N43" s="2"/>
    </row>
    <row r="44" spans="1:14" ht="16.5" thickBot="1">
      <c r="A44" s="254" t="str">
        <f>H44&amp;I44</f>
        <v>OPTION_REG =  %00000000</v>
      </c>
      <c r="B44" s="42"/>
      <c r="C44" s="42"/>
      <c r="D44" s="112" t="s">
        <v>50</v>
      </c>
      <c r="E44" s="42"/>
      <c r="F44" s="127"/>
      <c r="G44" s="114" t="str">
        <f>"  b'"&amp;F35&amp;F36&amp;F37&amp;F38&amp;F39&amp;F40&amp;F41&amp;F42&amp;"'"</f>
        <v>  b'00000000'</v>
      </c>
      <c r="H44" s="112" t="s">
        <v>51</v>
      </c>
      <c r="I44" s="112" t="str">
        <f>"  %"&amp;F35&amp;F36&amp;F37&amp;F38&amp;F39&amp;F40&amp;F41&amp;F42</f>
        <v>  %00000000</v>
      </c>
      <c r="J44" s="43"/>
      <c r="K44" s="2"/>
      <c r="L44" s="2"/>
      <c r="M44" s="2"/>
      <c r="N44" s="2"/>
    </row>
    <row r="45" spans="1:14" ht="15.75">
      <c r="A45" s="44"/>
      <c r="B45" s="35"/>
      <c r="C45" s="35"/>
      <c r="D45" s="35"/>
      <c r="E45" s="35"/>
      <c r="F45" s="118"/>
      <c r="G45" s="35"/>
      <c r="H45" s="35"/>
      <c r="I45" s="35"/>
      <c r="J45" s="37"/>
      <c r="K45" s="2"/>
      <c r="L45" s="2"/>
      <c r="M45" s="2"/>
      <c r="N45" s="2"/>
    </row>
    <row r="46" spans="1:14" ht="12.75">
      <c r="A46" s="38"/>
      <c r="B46" s="2"/>
      <c r="C46" s="5" t="s">
        <v>80</v>
      </c>
      <c r="D46" s="5" t="s">
        <v>209</v>
      </c>
      <c r="E46" s="2"/>
      <c r="F46" s="2"/>
      <c r="G46" s="2"/>
      <c r="H46" s="2"/>
      <c r="I46" s="2"/>
      <c r="J46" s="39"/>
      <c r="K46" s="2"/>
      <c r="L46" s="2"/>
      <c r="M46" s="2"/>
      <c r="N46" s="2"/>
    </row>
    <row r="47" spans="1:14" ht="13.5" thickBot="1">
      <c r="A47" s="38"/>
      <c r="B47" s="2"/>
      <c r="C47" s="2"/>
      <c r="D47" s="2"/>
      <c r="E47" s="2"/>
      <c r="F47" s="2"/>
      <c r="G47" s="2"/>
      <c r="H47" s="2"/>
      <c r="I47" s="2"/>
      <c r="J47" s="39"/>
      <c r="K47" s="2"/>
      <c r="L47" s="2"/>
      <c r="M47" s="2"/>
      <c r="N47" s="2"/>
    </row>
    <row r="48" spans="1:14" ht="15.75">
      <c r="A48" s="38"/>
      <c r="B48" s="2"/>
      <c r="C48" s="2"/>
      <c r="D48" s="2" t="s">
        <v>53</v>
      </c>
      <c r="E48" s="2" t="s">
        <v>81</v>
      </c>
      <c r="F48" s="66">
        <v>0</v>
      </c>
      <c r="G48" s="93" t="str">
        <f>IF(F48=0,"Interruption désactivées","Interruption activées")</f>
        <v>Interruption désactivées</v>
      </c>
      <c r="H48" s="2"/>
      <c r="I48" s="2"/>
      <c r="J48" s="39"/>
      <c r="K48" s="2"/>
      <c r="L48" s="2"/>
      <c r="M48" s="2"/>
      <c r="N48" s="2"/>
    </row>
    <row r="49" spans="1:14" ht="15.75">
      <c r="A49" s="38"/>
      <c r="B49" s="2"/>
      <c r="C49" s="2"/>
      <c r="D49" s="2" t="s">
        <v>29</v>
      </c>
      <c r="E49" s="2" t="s">
        <v>264</v>
      </c>
      <c r="F49" s="67">
        <v>0</v>
      </c>
      <c r="G49" s="93" t="str">
        <f>IF(F49=0,"Interruption PERIPHERIQUES Désactivées","InterruptionPERIPHERIQUES activées")</f>
        <v>Interruption PERIPHERIQUES Désactivées</v>
      </c>
      <c r="H49" s="2"/>
      <c r="I49" s="2"/>
      <c r="J49" s="39"/>
      <c r="K49" s="2"/>
      <c r="L49" s="2"/>
      <c r="M49" s="2"/>
      <c r="N49" s="2"/>
    </row>
    <row r="50" spans="1:14" ht="15.75">
      <c r="A50" s="38"/>
      <c r="B50" s="2"/>
      <c r="C50" s="2"/>
      <c r="D50" s="2" t="s">
        <v>32</v>
      </c>
      <c r="E50" s="2" t="s">
        <v>83</v>
      </c>
      <c r="F50" s="59">
        <v>0</v>
      </c>
      <c r="G50" s="93" t="str">
        <f>IF(F50=0,"Interruption TMR0 Désactivées","Interruption TMR0 activées")</f>
        <v>Interruption TMR0 Désactivées</v>
      </c>
      <c r="H50" s="2"/>
      <c r="I50" s="2"/>
      <c r="J50" s="39"/>
      <c r="K50" s="2"/>
      <c r="L50" s="2"/>
      <c r="M50" s="2"/>
      <c r="N50" s="2"/>
    </row>
    <row r="51" spans="1:14" ht="15.75">
      <c r="A51" s="38"/>
      <c r="B51" s="2"/>
      <c r="C51" s="2"/>
      <c r="D51" s="2" t="s">
        <v>35</v>
      </c>
      <c r="E51" s="2" t="s">
        <v>84</v>
      </c>
      <c r="F51" s="59">
        <v>0</v>
      </c>
      <c r="G51" s="93" t="str">
        <f>IF(F51=0,"Interruption RB0 /INTDésactivées","Interruption RB0/INT activées")</f>
        <v>Interruption RB0 /INTDésactivées</v>
      </c>
      <c r="H51" s="2"/>
      <c r="I51" s="2"/>
      <c r="J51" s="39"/>
      <c r="K51" s="2"/>
      <c r="L51" s="2"/>
      <c r="M51" s="2"/>
      <c r="N51" s="2"/>
    </row>
    <row r="52" spans="1:14" ht="15.75">
      <c r="A52" s="38"/>
      <c r="B52" s="2"/>
      <c r="C52" s="2"/>
      <c r="D52" s="2" t="s">
        <v>39</v>
      </c>
      <c r="E52" s="2" t="s">
        <v>275</v>
      </c>
      <c r="F52" s="61">
        <v>0</v>
      </c>
      <c r="G52" s="93" t="str">
        <f>IF(F52=0,"Interruption RB7-RB4 Désactivées","Interruption RB7-RB4 activées")</f>
        <v>Interruption RB7-RB4 Désactivées</v>
      </c>
      <c r="H52" s="2"/>
      <c r="I52" s="2"/>
      <c r="J52" s="39"/>
      <c r="K52" s="2"/>
      <c r="L52" s="2"/>
      <c r="M52" s="2"/>
      <c r="N52" s="2"/>
    </row>
    <row r="53" spans="1:14" ht="15.75">
      <c r="A53" s="38"/>
      <c r="B53" s="2"/>
      <c r="C53" s="2"/>
      <c r="D53" s="2" t="s">
        <v>41</v>
      </c>
      <c r="E53" s="2" t="s">
        <v>86</v>
      </c>
      <c r="F53" s="68">
        <v>0</v>
      </c>
      <c r="G53" s="4" t="s">
        <v>87</v>
      </c>
      <c r="H53" s="2"/>
      <c r="I53" s="2" t="s">
        <v>88</v>
      </c>
      <c r="J53" s="223"/>
      <c r="K53" s="2"/>
      <c r="L53" s="2"/>
      <c r="M53" s="2"/>
      <c r="N53" s="2"/>
    </row>
    <row r="54" spans="1:14" ht="15.75">
      <c r="A54" s="38"/>
      <c r="B54" s="2"/>
      <c r="C54" s="2"/>
      <c r="D54" s="2" t="s">
        <v>44</v>
      </c>
      <c r="E54" s="2" t="s">
        <v>89</v>
      </c>
      <c r="F54" s="68">
        <v>0</v>
      </c>
      <c r="G54" s="4" t="s">
        <v>265</v>
      </c>
      <c r="H54" s="2"/>
      <c r="I54" s="2" t="s">
        <v>88</v>
      </c>
      <c r="J54" s="223"/>
      <c r="K54" s="2"/>
      <c r="L54" s="2"/>
      <c r="M54" s="2"/>
      <c r="N54" s="2"/>
    </row>
    <row r="55" spans="1:14" ht="16.5" thickBot="1">
      <c r="A55" s="38"/>
      <c r="B55" s="2"/>
      <c r="C55" s="2"/>
      <c r="D55" s="2" t="s">
        <v>48</v>
      </c>
      <c r="E55" s="2" t="s">
        <v>276</v>
      </c>
      <c r="F55" s="69">
        <v>0</v>
      </c>
      <c r="G55" s="4" t="s">
        <v>277</v>
      </c>
      <c r="H55" s="2"/>
      <c r="I55" s="2" t="s">
        <v>88</v>
      </c>
      <c r="J55" s="223"/>
      <c r="K55" s="2"/>
      <c r="L55" s="2"/>
      <c r="M55" s="2"/>
      <c r="N55" s="2"/>
    </row>
    <row r="56" spans="1:14" ht="12.75">
      <c r="A56" s="38"/>
      <c r="B56" s="2"/>
      <c r="C56" s="2"/>
      <c r="D56" s="2"/>
      <c r="E56" s="2"/>
      <c r="F56" s="2"/>
      <c r="G56" s="2"/>
      <c r="H56" s="2"/>
      <c r="I56" s="2"/>
      <c r="J56" s="39"/>
      <c r="K56" s="2"/>
      <c r="L56" s="2"/>
      <c r="M56" s="2"/>
      <c r="N56" s="2"/>
    </row>
    <row r="57" spans="1:14" ht="16.5" thickBot="1">
      <c r="A57" s="254" t="str">
        <f>H57&amp;I57</f>
        <v>INTCON=  %00000000</v>
      </c>
      <c r="B57" s="42"/>
      <c r="C57" s="42"/>
      <c r="D57" s="112" t="s">
        <v>93</v>
      </c>
      <c r="E57" s="42"/>
      <c r="F57" s="42"/>
      <c r="G57" s="114" t="str">
        <f>"  b'"&amp;F48&amp;F49&amp;F50&amp;F51&amp;F52&amp;F53&amp;F54&amp;F55&amp;"'"</f>
        <v>  b'00000000'</v>
      </c>
      <c r="H57" s="115" t="s">
        <v>94</v>
      </c>
      <c r="I57" s="119" t="str">
        <f>"  %"&amp;F48&amp;F49&amp;F50&amp;F51&amp;F52&amp;F53&amp;F54&amp;F55</f>
        <v>  %00000000</v>
      </c>
      <c r="J57" s="43"/>
      <c r="K57" s="2"/>
      <c r="L57" s="2"/>
      <c r="M57" s="2"/>
      <c r="N57" s="2"/>
    </row>
    <row r="58" spans="1:14" ht="12.75">
      <c r="A58" s="34"/>
      <c r="B58" s="35"/>
      <c r="C58" s="35"/>
      <c r="D58" s="35"/>
      <c r="E58" s="35"/>
      <c r="F58" s="35"/>
      <c r="G58" s="35"/>
      <c r="H58" s="35"/>
      <c r="I58" s="35"/>
      <c r="J58" s="37"/>
      <c r="K58" s="2"/>
      <c r="L58" s="2"/>
      <c r="M58" s="2"/>
      <c r="N58" s="2"/>
    </row>
    <row r="59" spans="1:14" ht="12.75">
      <c r="A59" s="38"/>
      <c r="B59" s="2"/>
      <c r="C59" s="10" t="s">
        <v>105</v>
      </c>
      <c r="D59" s="5" t="s">
        <v>106</v>
      </c>
      <c r="E59" s="2"/>
      <c r="F59" s="2"/>
      <c r="G59" s="2"/>
      <c r="H59" s="2"/>
      <c r="I59" s="2"/>
      <c r="J59" s="39"/>
      <c r="K59" s="2"/>
      <c r="L59" s="2"/>
      <c r="M59" s="2"/>
      <c r="N59" s="2"/>
    </row>
    <row r="60" spans="1:14" ht="13.5" thickBot="1">
      <c r="A60" s="38"/>
      <c r="B60" s="2"/>
      <c r="C60" s="2"/>
      <c r="D60" s="2"/>
      <c r="E60" s="2"/>
      <c r="F60" s="2"/>
      <c r="G60" s="2"/>
      <c r="H60" s="2"/>
      <c r="I60" s="2"/>
      <c r="J60" s="39"/>
      <c r="K60" s="2"/>
      <c r="L60" s="2"/>
      <c r="M60" s="2"/>
      <c r="N60" s="2"/>
    </row>
    <row r="61" spans="1:14" ht="15.75">
      <c r="A61" s="38"/>
      <c r="B61" s="2"/>
      <c r="C61" s="2"/>
      <c r="D61" s="2" t="s">
        <v>53</v>
      </c>
      <c r="E61" s="2" t="s">
        <v>107</v>
      </c>
      <c r="F61" s="66">
        <v>0</v>
      </c>
      <c r="G61" s="93" t="str">
        <f>IF(F61=0,"Interruption EE Désactivée","Interruption EE activée")</f>
        <v>Interruption EE Désactivée</v>
      </c>
      <c r="H61" s="2"/>
      <c r="I61" s="2"/>
      <c r="J61" s="39"/>
      <c r="K61" s="2"/>
      <c r="L61" s="2"/>
      <c r="M61" s="2"/>
      <c r="N61" s="2"/>
    </row>
    <row r="62" spans="1:14" ht="15.75">
      <c r="A62" s="38"/>
      <c r="B62" s="2"/>
      <c r="C62" s="2"/>
      <c r="D62" s="2" t="s">
        <v>29</v>
      </c>
      <c r="E62" s="2" t="s">
        <v>109</v>
      </c>
      <c r="F62" s="79">
        <v>0</v>
      </c>
      <c r="G62" s="93" t="str">
        <f>IF(F62=0,"Interruption comparateur  Désactivée","Interruption comparateur  activée")</f>
        <v>Interruption comparateur  Désactivée</v>
      </c>
      <c r="H62" s="2"/>
      <c r="I62" s="2"/>
      <c r="J62" s="39"/>
      <c r="K62" s="2"/>
      <c r="L62" s="2"/>
      <c r="M62" s="2"/>
      <c r="N62" s="2"/>
    </row>
    <row r="63" spans="1:14" ht="15.75">
      <c r="A63" s="38"/>
      <c r="B63" s="2"/>
      <c r="C63" s="2"/>
      <c r="D63" s="2" t="s">
        <v>32</v>
      </c>
      <c r="E63" s="2" t="s">
        <v>266</v>
      </c>
      <c r="F63" s="79">
        <v>0</v>
      </c>
      <c r="G63" s="93" t="str">
        <f>IF(F63=0,"Reception  USART Désactivée","Reception  USART activée")</f>
        <v>Reception  USART Désactivée</v>
      </c>
      <c r="H63" s="2"/>
      <c r="I63" s="2"/>
      <c r="J63" s="39"/>
      <c r="K63" s="2"/>
      <c r="L63" s="2"/>
      <c r="M63" s="2"/>
      <c r="N63" s="2"/>
    </row>
    <row r="64" spans="1:14" ht="15.75">
      <c r="A64" s="38"/>
      <c r="B64" s="2"/>
      <c r="C64" s="2"/>
      <c r="D64" s="2" t="s">
        <v>35</v>
      </c>
      <c r="E64" s="31" t="s">
        <v>267</v>
      </c>
      <c r="F64" s="79">
        <v>0</v>
      </c>
      <c r="G64" s="93" t="str">
        <f>IF(F64=0,"Transmission USART Désactivée","Transmission USART activée")</f>
        <v>Transmission USART Désactivée</v>
      </c>
      <c r="H64" s="2"/>
      <c r="I64" s="2"/>
      <c r="J64" s="39"/>
      <c r="K64" s="2"/>
      <c r="L64" s="2"/>
      <c r="M64" s="2"/>
      <c r="N64" s="2"/>
    </row>
    <row r="65" spans="1:14" ht="15.75">
      <c r="A65" s="38"/>
      <c r="B65" s="2"/>
      <c r="C65" s="2"/>
      <c r="D65" s="2" t="s">
        <v>39</v>
      </c>
      <c r="E65" s="2"/>
      <c r="F65" s="136">
        <v>0</v>
      </c>
      <c r="G65" s="137" t="s">
        <v>54</v>
      </c>
      <c r="H65" s="2"/>
      <c r="I65" s="2"/>
      <c r="J65" s="39"/>
      <c r="K65" s="2"/>
      <c r="L65" s="2"/>
      <c r="M65" s="2"/>
      <c r="N65" s="2"/>
    </row>
    <row r="66" spans="1:14" ht="15.75">
      <c r="A66" s="38"/>
      <c r="B66" s="2"/>
      <c r="C66" s="2"/>
      <c r="D66" s="2" t="s">
        <v>41</v>
      </c>
      <c r="E66" s="2" t="s">
        <v>268</v>
      </c>
      <c r="F66" s="79">
        <v>0</v>
      </c>
      <c r="G66" s="93" t="str">
        <f>IF(F66=0,"Interuption CCP1 Désactivée","Interuption CCP1 activée")</f>
        <v>Interuption CCP1 Désactivée</v>
      </c>
      <c r="H66" s="2"/>
      <c r="I66" s="2"/>
      <c r="J66" s="39"/>
      <c r="K66" s="2"/>
      <c r="L66" s="2"/>
      <c r="M66" s="2"/>
      <c r="N66" s="2"/>
    </row>
    <row r="67" spans="1:14" ht="15.75">
      <c r="A67" s="38"/>
      <c r="B67" s="2"/>
      <c r="C67" s="2"/>
      <c r="D67" s="2" t="s">
        <v>44</v>
      </c>
      <c r="E67" s="2" t="s">
        <v>269</v>
      </c>
      <c r="F67" s="79">
        <v>0</v>
      </c>
      <c r="G67" s="93" t="str">
        <f>IF(F67=0,"interuption TMR2 désactivée","interuption TMR2  activée")</f>
        <v>interuption TMR2 désactivée</v>
      </c>
      <c r="H67" s="2"/>
      <c r="I67" s="2"/>
      <c r="J67" s="39"/>
      <c r="K67" s="2"/>
      <c r="L67" s="2"/>
      <c r="M67" s="2"/>
      <c r="N67" s="2"/>
    </row>
    <row r="68" spans="1:14" ht="16.5" thickBot="1">
      <c r="A68" s="38"/>
      <c r="B68" s="2"/>
      <c r="C68" s="2"/>
      <c r="D68" s="2" t="s">
        <v>48</v>
      </c>
      <c r="E68" s="2" t="s">
        <v>110</v>
      </c>
      <c r="F68" s="83">
        <v>0</v>
      </c>
      <c r="G68" s="93" t="str">
        <f>IF(F68=0,"Interruption débordement TMR   Désactivée","Interruption débordementTMR1  activée")</f>
        <v>Interruption débordement TMR   Désactivée</v>
      </c>
      <c r="H68" s="2"/>
      <c r="I68" s="2"/>
      <c r="J68" s="39"/>
      <c r="K68" s="2"/>
      <c r="L68" s="2"/>
      <c r="M68" s="2"/>
      <c r="N68" s="2"/>
    </row>
    <row r="69" spans="1:14" ht="12.75">
      <c r="A69" s="38"/>
      <c r="B69" s="2"/>
      <c r="C69" s="2"/>
      <c r="D69" s="2"/>
      <c r="E69" s="2"/>
      <c r="F69" s="2"/>
      <c r="G69" s="2"/>
      <c r="H69" s="2"/>
      <c r="I69" s="2"/>
      <c r="J69" s="39"/>
      <c r="K69" s="2"/>
      <c r="L69" s="2"/>
      <c r="M69" s="2"/>
      <c r="N69" s="2"/>
    </row>
    <row r="70" spans="1:14" ht="15.75">
      <c r="A70" s="225" t="str">
        <f>H70&amp;I70</f>
        <v>PIE1=  %00000000</v>
      </c>
      <c r="B70" s="2"/>
      <c r="C70" s="2"/>
      <c r="D70" s="5" t="s">
        <v>111</v>
      </c>
      <c r="E70" s="2"/>
      <c r="F70" s="2"/>
      <c r="G70" s="110" t="str">
        <f>"  b'"&amp;F61&amp;F62&amp;F63&amp;F64&amp;F65&amp;F66&amp;F67&amp;F68&amp;"'"</f>
        <v>  b'00000000'</v>
      </c>
      <c r="H70" s="17" t="s">
        <v>112</v>
      </c>
      <c r="I70" s="20" t="str">
        <f>"  %"&amp;F61&amp;F62&amp;F63&amp;F64&amp;F65&amp;F66&amp;F67&amp;F68</f>
        <v>  %00000000</v>
      </c>
      <c r="J70" s="39"/>
      <c r="K70" s="2"/>
      <c r="L70" s="2"/>
      <c r="M70" s="2"/>
      <c r="N70" s="2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39"/>
      <c r="K71" s="2"/>
      <c r="L71" s="2"/>
      <c r="M71" s="2"/>
      <c r="N71" s="2"/>
    </row>
    <row r="72" spans="1:14" ht="13.5" thickBot="1">
      <c r="A72" s="41"/>
      <c r="B72" s="42"/>
      <c r="C72" s="42"/>
      <c r="D72" s="42"/>
      <c r="E72" s="42"/>
      <c r="F72" s="42"/>
      <c r="G72" s="42"/>
      <c r="H72" s="42"/>
      <c r="I72" s="42"/>
      <c r="J72" s="43"/>
      <c r="K72" s="2"/>
      <c r="L72" s="2"/>
      <c r="M72" s="2"/>
      <c r="N72" s="2"/>
    </row>
    <row r="73" spans="1:14" ht="12.75">
      <c r="A73" s="34"/>
      <c r="B73" s="35"/>
      <c r="C73" s="35"/>
      <c r="D73" s="35"/>
      <c r="E73" s="35"/>
      <c r="F73" s="35"/>
      <c r="G73" s="35"/>
      <c r="H73" s="35"/>
      <c r="I73" s="35"/>
      <c r="J73" s="37"/>
      <c r="K73" s="2"/>
      <c r="L73" s="2"/>
      <c r="M73" s="2"/>
      <c r="N73" s="2"/>
    </row>
    <row r="74" spans="1:14" ht="12.75">
      <c r="A74" s="38" t="s">
        <v>309</v>
      </c>
      <c r="B74" s="2"/>
      <c r="C74" s="2"/>
      <c r="D74" s="2"/>
      <c r="E74" s="2"/>
      <c r="F74" s="2"/>
      <c r="G74" s="2"/>
      <c r="H74" s="2"/>
      <c r="I74" s="2"/>
      <c r="J74" s="39"/>
      <c r="K74" s="2"/>
      <c r="L74" s="2"/>
      <c r="M74" s="2"/>
      <c r="N74" s="2"/>
    </row>
    <row r="75" spans="1:14" ht="12.75">
      <c r="A75" s="38"/>
      <c r="B75" s="4"/>
      <c r="C75" s="144"/>
      <c r="D75" s="5" t="s">
        <v>293</v>
      </c>
      <c r="E75" s="5"/>
      <c r="F75" s="1"/>
      <c r="G75" s="1"/>
      <c r="H75" s="4"/>
      <c r="I75" s="2"/>
      <c r="J75" s="39"/>
      <c r="K75" s="2"/>
      <c r="L75" s="2"/>
      <c r="M75" s="2"/>
      <c r="N75" s="2"/>
    </row>
    <row r="76" spans="1:14" ht="12.75">
      <c r="A76" s="38"/>
      <c r="B76" s="2"/>
      <c r="C76" s="2"/>
      <c r="D76" s="2"/>
      <c r="E76" s="2"/>
      <c r="F76" s="2"/>
      <c r="G76" s="2"/>
      <c r="H76" s="2"/>
      <c r="I76" s="2"/>
      <c r="J76" s="39"/>
      <c r="K76" s="2"/>
      <c r="L76" s="2"/>
      <c r="M76" s="2"/>
      <c r="N76" s="2"/>
    </row>
    <row r="77" spans="1:14" ht="13.5" thickBot="1">
      <c r="A77" s="38"/>
      <c r="B77" s="2"/>
      <c r="C77" s="2"/>
      <c r="D77" s="2"/>
      <c r="E77" s="2"/>
      <c r="F77" s="2"/>
      <c r="G77" s="2"/>
      <c r="H77" s="2"/>
      <c r="I77" s="2"/>
      <c r="J77" s="39"/>
      <c r="K77" s="2"/>
      <c r="L77" s="2"/>
      <c r="M77" s="2"/>
      <c r="N77" s="2"/>
    </row>
    <row r="78" spans="1:14" ht="15.75">
      <c r="A78" s="38"/>
      <c r="B78" s="2"/>
      <c r="C78" s="2"/>
      <c r="D78" s="2" t="s">
        <v>53</v>
      </c>
      <c r="E78" s="2" t="s">
        <v>183</v>
      </c>
      <c r="F78" s="85">
        <v>0</v>
      </c>
      <c r="G78" s="93" t="str">
        <f>IF(F78=1,"ecriture complete ","ecriture   incomplete")</f>
        <v>ecriture   incomplete</v>
      </c>
      <c r="H78" s="2"/>
      <c r="I78" s="2"/>
      <c r="J78" s="39"/>
      <c r="K78" s="2"/>
      <c r="L78" s="2"/>
      <c r="M78" s="2"/>
      <c r="N78" s="2"/>
    </row>
    <row r="79" spans="1:14" ht="15.75">
      <c r="A79" s="38"/>
      <c r="B79" s="2"/>
      <c r="C79" s="2"/>
      <c r="D79" s="2" t="s">
        <v>29</v>
      </c>
      <c r="E79" s="2" t="s">
        <v>185</v>
      </c>
      <c r="F79" s="82">
        <v>0</v>
      </c>
      <c r="G79" s="93" t="str">
        <f>IF(F79=1,"l'entrée du comparateur à changée ","l'entrée du comparateur n'à  PAS changée ")</f>
        <v>l'entrée du comparateur n'à  PAS changée </v>
      </c>
      <c r="H79" s="2"/>
      <c r="I79" s="2"/>
      <c r="J79" s="39"/>
      <c r="K79" s="2"/>
      <c r="L79" s="2"/>
      <c r="M79" s="2"/>
      <c r="N79" s="2"/>
    </row>
    <row r="80" spans="1:14" ht="15.75">
      <c r="A80" s="38"/>
      <c r="B80" s="2"/>
      <c r="C80" s="2"/>
      <c r="D80" s="2" t="s">
        <v>32</v>
      </c>
      <c r="E80" s="2" t="s">
        <v>270</v>
      </c>
      <c r="F80" s="82">
        <v>0</v>
      </c>
      <c r="G80" s="93" t="str">
        <f>IF(F80=0,"Buffer reception vide ","buffer reception plein ")</f>
        <v>Buffer reception vide </v>
      </c>
      <c r="H80" s="2"/>
      <c r="I80" s="2"/>
      <c r="J80" s="39"/>
      <c r="K80" s="2"/>
      <c r="L80" s="2"/>
      <c r="M80" s="2"/>
      <c r="N80" s="2"/>
    </row>
    <row r="81" spans="1:14" ht="15.75">
      <c r="A81" s="38"/>
      <c r="B81" s="2"/>
      <c r="C81" s="2"/>
      <c r="D81" s="2" t="s">
        <v>35</v>
      </c>
      <c r="E81" s="31" t="s">
        <v>271</v>
      </c>
      <c r="F81" s="82">
        <v>0</v>
      </c>
      <c r="G81" s="93" t="str">
        <f>IF(F81=0,"Buffer transmission vide ","buffer transmission plein ")</f>
        <v>Buffer transmission vide </v>
      </c>
      <c r="H81" s="2"/>
      <c r="I81" s="2"/>
      <c r="J81" s="39"/>
      <c r="K81" s="2"/>
      <c r="L81" s="2"/>
      <c r="M81" s="2"/>
      <c r="N81" s="2"/>
    </row>
    <row r="82" spans="1:14" ht="15.75">
      <c r="A82" s="38"/>
      <c r="B82" s="2"/>
      <c r="C82" s="2"/>
      <c r="D82" s="2" t="s">
        <v>39</v>
      </c>
      <c r="E82" s="2"/>
      <c r="F82" s="136">
        <v>0</v>
      </c>
      <c r="G82" s="2" t="s">
        <v>272</v>
      </c>
      <c r="H82" s="2"/>
      <c r="I82" s="2"/>
      <c r="J82" s="39"/>
      <c r="K82" s="2"/>
      <c r="L82" s="2"/>
      <c r="M82" s="2"/>
      <c r="N82" s="2"/>
    </row>
    <row r="83" spans="1:14" ht="15.75">
      <c r="A83" s="38"/>
      <c r="B83" s="2"/>
      <c r="C83" s="2"/>
      <c r="D83" s="2" t="s">
        <v>41</v>
      </c>
      <c r="E83" s="2" t="s">
        <v>273</v>
      </c>
      <c r="F83" s="82">
        <v>0</v>
      </c>
      <c r="G83" s="93" t="s">
        <v>308</v>
      </c>
      <c r="H83" s="2"/>
      <c r="I83" s="2"/>
      <c r="J83" s="39"/>
      <c r="K83" s="2"/>
      <c r="L83" s="2"/>
      <c r="M83" s="2"/>
      <c r="N83" s="2"/>
    </row>
    <row r="84" spans="1:14" ht="15.75">
      <c r="A84" s="38"/>
      <c r="B84" s="2" t="s">
        <v>282</v>
      </c>
      <c r="C84" s="2"/>
      <c r="D84" s="2" t="s">
        <v>44</v>
      </c>
      <c r="E84" s="2" t="s">
        <v>274</v>
      </c>
      <c r="F84" s="82">
        <v>0</v>
      </c>
      <c r="G84" s="93" t="str">
        <f>IF(F84=1,"Débordement du TIMER2 ","PAS de Débordement du TIMER2 ")</f>
        <v>PAS de Débordement du TIMER2 </v>
      </c>
      <c r="H84" s="2"/>
      <c r="I84" s="2"/>
      <c r="J84" s="39"/>
      <c r="K84" s="2"/>
      <c r="L84" s="2"/>
      <c r="M84" s="2"/>
      <c r="N84" s="2"/>
    </row>
    <row r="85" spans="1:14" ht="16.5" thickBot="1">
      <c r="A85" s="38"/>
      <c r="B85" s="2"/>
      <c r="C85" s="2"/>
      <c r="D85" s="2" t="s">
        <v>48</v>
      </c>
      <c r="E85" s="2" t="s">
        <v>186</v>
      </c>
      <c r="F85" s="86">
        <v>0</v>
      </c>
      <c r="G85" s="93" t="str">
        <f>IF(F85=1,"Débordement du TIMER1 ","PAS de Débordement du TIMER1 ")</f>
        <v>PAS de Débordement du TIMER1 </v>
      </c>
      <c r="H85" s="2"/>
      <c r="I85" s="2"/>
      <c r="J85" s="39"/>
      <c r="K85" s="2"/>
      <c r="L85" s="2"/>
      <c r="M85" s="2"/>
      <c r="N85" s="2"/>
    </row>
    <row r="86" spans="1:14" ht="15.75">
      <c r="A86" s="38"/>
      <c r="B86" s="2"/>
      <c r="C86" s="2"/>
      <c r="D86" s="2"/>
      <c r="E86" s="2"/>
      <c r="F86" s="32"/>
      <c r="G86" s="11"/>
      <c r="H86" s="2"/>
      <c r="I86" s="2"/>
      <c r="J86" s="39"/>
      <c r="K86" s="2"/>
      <c r="L86" s="2"/>
      <c r="M86" s="2"/>
      <c r="N86" s="2"/>
    </row>
    <row r="87" spans="1:14" ht="16.5" thickBot="1">
      <c r="A87" s="254" t="str">
        <f>H87&amp;I87</f>
        <v>PIR1=  %00000000</v>
      </c>
      <c r="B87" s="42"/>
      <c r="C87" s="42"/>
      <c r="D87" s="112" t="s">
        <v>187</v>
      </c>
      <c r="E87" s="42"/>
      <c r="F87" s="113"/>
      <c r="G87" s="114" t="str">
        <f>"  b'"&amp;F78&amp;F79&amp;F80&amp;F81&amp;F82&amp;F83&amp;F84&amp;F85&amp;"'"</f>
        <v>  b'00000000'</v>
      </c>
      <c r="H87" s="115" t="s">
        <v>188</v>
      </c>
      <c r="I87" s="119" t="str">
        <f>"  %"&amp;F78&amp;F79&amp;F80&amp;F81&amp;F82&amp;F83&amp;F84&amp;F85</f>
        <v>  %00000000</v>
      </c>
      <c r="J87" s="43"/>
      <c r="K87" s="2"/>
      <c r="L87" s="2"/>
      <c r="M87" s="2"/>
      <c r="N87" s="2"/>
    </row>
    <row r="88" spans="1:14" ht="12.75">
      <c r="A88" s="44"/>
      <c r="B88" s="35"/>
      <c r="C88" s="35"/>
      <c r="D88" s="35"/>
      <c r="E88" s="35"/>
      <c r="F88" s="35"/>
      <c r="G88" s="35"/>
      <c r="H88" s="35"/>
      <c r="I88" s="35"/>
      <c r="J88" s="37"/>
      <c r="K88" s="2"/>
      <c r="L88" s="2"/>
      <c r="M88" s="2"/>
      <c r="N88" s="2"/>
    </row>
    <row r="89" spans="1:14" ht="12.75">
      <c r="A89" s="38"/>
      <c r="B89" s="2"/>
      <c r="C89" s="10" t="s">
        <v>113</v>
      </c>
      <c r="D89" s="5" t="s">
        <v>285</v>
      </c>
      <c r="E89" s="2"/>
      <c r="F89" s="2"/>
      <c r="G89" s="2"/>
      <c r="H89" s="2"/>
      <c r="I89" s="240">
        <f>(F100*2)+F99*4+F101+F98*8</f>
        <v>2</v>
      </c>
      <c r="J89" s="39"/>
      <c r="K89" s="2"/>
      <c r="L89" s="2"/>
      <c r="M89" s="2"/>
      <c r="N89" s="2"/>
    </row>
    <row r="90" spans="1:14" ht="12.75">
      <c r="A90" s="38"/>
      <c r="B90" s="5"/>
      <c r="C90" s="2"/>
      <c r="E90" s="2"/>
      <c r="F90" s="2"/>
      <c r="G90" s="2"/>
      <c r="H90" s="2"/>
      <c r="I90" s="2"/>
      <c r="J90" s="39"/>
      <c r="K90" s="2"/>
      <c r="L90" s="2"/>
      <c r="M90" s="2"/>
      <c r="N90" s="2"/>
    </row>
    <row r="91" spans="1:14" ht="12.75">
      <c r="A91" s="38"/>
      <c r="B91" s="2"/>
      <c r="C91" s="2"/>
      <c r="D91" s="2"/>
      <c r="E91" s="11"/>
      <c r="F91" s="2"/>
      <c r="G91" s="19"/>
      <c r="H91" s="2"/>
      <c r="I91" s="2"/>
      <c r="J91" s="39"/>
      <c r="K91" s="2"/>
      <c r="L91" s="2"/>
      <c r="M91" s="2"/>
      <c r="N91" s="2"/>
    </row>
    <row r="92" spans="1:14" ht="12.75">
      <c r="A92" s="38"/>
      <c r="B92" s="2"/>
      <c r="C92" s="2"/>
      <c r="D92" s="5" t="s">
        <v>292</v>
      </c>
      <c r="E92" s="19"/>
      <c r="F92" s="2"/>
      <c r="G92" s="2"/>
      <c r="I92" s="2"/>
      <c r="J92" s="39"/>
      <c r="K92" s="2"/>
      <c r="L92" s="2"/>
      <c r="M92" s="2"/>
      <c r="N92" s="2"/>
    </row>
    <row r="93" spans="1:14" ht="13.5" thickBot="1">
      <c r="A93" s="38"/>
      <c r="B93" s="2"/>
      <c r="C93" s="2"/>
      <c r="D93" s="2"/>
      <c r="E93" s="19"/>
      <c r="F93" s="2"/>
      <c r="G93" s="2"/>
      <c r="I93" s="2"/>
      <c r="J93" s="39"/>
      <c r="K93" s="2"/>
      <c r="L93" s="2"/>
      <c r="M93" s="2"/>
      <c r="N93" s="2"/>
    </row>
    <row r="94" spans="1:14" ht="15.75">
      <c r="A94" s="38"/>
      <c r="B94" s="2"/>
      <c r="C94" s="2"/>
      <c r="D94" s="2" t="s">
        <v>53</v>
      </c>
      <c r="E94" s="233" t="s">
        <v>278</v>
      </c>
      <c r="F94" s="219">
        <v>0</v>
      </c>
      <c r="G94" s="93" t="s">
        <v>305</v>
      </c>
      <c r="H94" s="238" t="s">
        <v>286</v>
      </c>
      <c r="I94" s="221"/>
      <c r="J94" s="229"/>
      <c r="K94" s="2"/>
      <c r="L94" s="2"/>
      <c r="M94" s="2"/>
      <c r="N94" s="2"/>
    </row>
    <row r="95" spans="1:14" ht="15.75">
      <c r="A95" s="38"/>
      <c r="B95" s="2"/>
      <c r="C95" s="2"/>
      <c r="D95" s="2" t="s">
        <v>29</v>
      </c>
      <c r="E95" s="236" t="s">
        <v>279</v>
      </c>
      <c r="F95" s="68">
        <v>0</v>
      </c>
      <c r="G95" s="93" t="s">
        <v>306</v>
      </c>
      <c r="H95" s="275" t="s">
        <v>347</v>
      </c>
      <c r="I95" s="198"/>
      <c r="J95" s="229"/>
      <c r="K95" s="2"/>
      <c r="L95" s="2"/>
      <c r="M95" s="2"/>
      <c r="N95" s="2"/>
    </row>
    <row r="96" spans="1:14" ht="15.75">
      <c r="A96" s="38"/>
      <c r="B96" s="2"/>
      <c r="C96" s="2"/>
      <c r="D96" s="2" t="s">
        <v>32</v>
      </c>
      <c r="E96" s="11" t="s">
        <v>280</v>
      </c>
      <c r="F96" s="68">
        <v>0</v>
      </c>
      <c r="G96" s="234" t="str">
        <f>IF(F96=0,"NON Inversion du bit  C2OUT","Inversion du bitC2OUT ")</f>
        <v>NON Inversion du bit  C2OUT</v>
      </c>
      <c r="H96" s="275" t="s">
        <v>346</v>
      </c>
      <c r="I96" s="221"/>
      <c r="J96" s="228"/>
      <c r="K96" s="2"/>
      <c r="L96" s="2"/>
      <c r="M96" s="2"/>
      <c r="N96" s="2"/>
    </row>
    <row r="97" spans="1:14" ht="15.75">
      <c r="A97" s="38"/>
      <c r="B97" s="2"/>
      <c r="C97" s="2"/>
      <c r="D97" s="2" t="s">
        <v>35</v>
      </c>
      <c r="E97" s="11" t="s">
        <v>281</v>
      </c>
      <c r="F97" s="68">
        <v>1</v>
      </c>
      <c r="G97" s="235" t="str">
        <f>IF(F97=0,"NON Inversion du bit  C1OUT","Inversion du bitC1OUT ")</f>
        <v>Inversion du bitC1OUT </v>
      </c>
      <c r="H97" s="275" t="s">
        <v>345</v>
      </c>
      <c r="I97" s="221"/>
      <c r="J97" s="228"/>
      <c r="K97" s="2"/>
      <c r="L97" s="2"/>
      <c r="M97" s="2"/>
      <c r="N97" s="2"/>
    </row>
    <row r="98" spans="1:14" ht="15.75">
      <c r="A98" s="38"/>
      <c r="B98" s="2"/>
      <c r="C98" s="2"/>
      <c r="D98" s="2" t="s">
        <v>39</v>
      </c>
      <c r="E98" s="237" t="s">
        <v>123</v>
      </c>
      <c r="F98" s="68">
        <v>0</v>
      </c>
      <c r="G98" s="239" t="str">
        <f>IF(I89=9,"RA3  selectionné",IF(I89=1,"RA0  selectionné",IF(I89=2,"RA0 sélectionné",IF(I89=10,"RA3 sélectionné",""))))</f>
        <v>RA0 sélectionné</v>
      </c>
      <c r="H98" s="275" t="s">
        <v>344</v>
      </c>
      <c r="I98" s="221"/>
      <c r="J98" s="228"/>
      <c r="K98" s="2"/>
      <c r="L98" s="2"/>
      <c r="M98" s="2"/>
      <c r="N98" s="2"/>
    </row>
    <row r="99" spans="1:14" ht="15.75">
      <c r="A99" s="38"/>
      <c r="B99" s="2"/>
      <c r="C99" s="2"/>
      <c r="D99" s="2" t="s">
        <v>41</v>
      </c>
      <c r="E99" s="11" t="s">
        <v>125</v>
      </c>
      <c r="F99" s="78">
        <v>0</v>
      </c>
      <c r="G99" s="19" t="s">
        <v>287</v>
      </c>
      <c r="H99" s="238" t="s">
        <v>288</v>
      </c>
      <c r="I99" s="221"/>
      <c r="J99" s="228"/>
      <c r="K99" s="2"/>
      <c r="L99" s="2"/>
      <c r="M99" s="2"/>
      <c r="N99" s="2"/>
    </row>
    <row r="100" spans="1:14" ht="15.75">
      <c r="A100" s="38"/>
      <c r="B100" s="2"/>
      <c r="C100" s="2"/>
      <c r="D100" s="2" t="s">
        <v>44</v>
      </c>
      <c r="E100" s="11" t="s">
        <v>127</v>
      </c>
      <c r="F100" s="78">
        <v>1</v>
      </c>
      <c r="G100" s="2"/>
      <c r="H100" s="238" t="s">
        <v>289</v>
      </c>
      <c r="I100" s="221"/>
      <c r="J100" s="228"/>
      <c r="K100" s="2"/>
      <c r="L100" s="2"/>
      <c r="M100" s="2"/>
      <c r="N100" s="2"/>
    </row>
    <row r="101" spans="1:14" ht="16.5" thickBot="1">
      <c r="A101" s="38"/>
      <c r="B101" s="2"/>
      <c r="C101" s="2"/>
      <c r="D101" s="2" t="s">
        <v>48</v>
      </c>
      <c r="E101" s="11" t="s">
        <v>129</v>
      </c>
      <c r="F101" s="80">
        <v>0</v>
      </c>
      <c r="G101" s="2"/>
      <c r="H101" s="238" t="s">
        <v>290</v>
      </c>
      <c r="I101" s="221"/>
      <c r="J101" s="228"/>
      <c r="K101" s="2"/>
      <c r="L101" s="2"/>
      <c r="M101" s="2"/>
      <c r="N101" s="2"/>
    </row>
    <row r="102" spans="1:14" ht="12.75">
      <c r="A102" s="38"/>
      <c r="B102" s="2"/>
      <c r="C102" s="2"/>
      <c r="D102" s="2"/>
      <c r="E102" s="19"/>
      <c r="F102" s="19"/>
      <c r="G102" s="2"/>
      <c r="H102" s="241" t="s">
        <v>294</v>
      </c>
      <c r="I102" s="221"/>
      <c r="J102" s="229"/>
      <c r="K102" s="2"/>
      <c r="L102" s="2"/>
      <c r="M102" s="2"/>
      <c r="N102" s="2"/>
    </row>
    <row r="103" spans="1:14" ht="12.75">
      <c r="A103" s="38"/>
      <c r="B103" s="2"/>
      <c r="C103" s="2"/>
      <c r="D103" s="2"/>
      <c r="E103" s="19"/>
      <c r="F103" s="19"/>
      <c r="G103" s="2"/>
      <c r="H103" s="238" t="s">
        <v>291</v>
      </c>
      <c r="I103" s="221"/>
      <c r="J103" s="229"/>
      <c r="K103" s="2"/>
      <c r="L103" s="2"/>
      <c r="M103" s="2"/>
      <c r="N103" s="2"/>
    </row>
    <row r="104" spans="1:14" ht="12.75">
      <c r="A104" s="38"/>
      <c r="B104" s="2"/>
      <c r="C104" s="2"/>
      <c r="D104" s="2"/>
      <c r="E104" s="19"/>
      <c r="F104" s="19"/>
      <c r="G104" s="2"/>
      <c r="H104" s="238"/>
      <c r="I104" s="221"/>
      <c r="J104" s="229"/>
      <c r="K104" s="2"/>
      <c r="L104" s="2"/>
      <c r="M104" s="2"/>
      <c r="N104" s="2"/>
    </row>
    <row r="105" spans="1:14" ht="12.75">
      <c r="A105" s="38"/>
      <c r="B105" s="2"/>
      <c r="C105" s="2"/>
      <c r="D105" s="2"/>
      <c r="E105" s="19"/>
      <c r="F105" s="19"/>
      <c r="G105" s="2"/>
      <c r="H105" s="220"/>
      <c r="I105" s="221"/>
      <c r="J105" s="229"/>
      <c r="K105" s="2"/>
      <c r="L105" s="2"/>
      <c r="M105" s="2"/>
      <c r="N105" s="2"/>
    </row>
    <row r="106" spans="1:14" ht="13.5" thickBot="1">
      <c r="A106" s="41"/>
      <c r="K106" s="2"/>
      <c r="L106" s="2"/>
      <c r="M106" s="2"/>
      <c r="N106" s="2"/>
    </row>
    <row r="107" spans="1:14" ht="16.5" thickBot="1">
      <c r="A107" s="254" t="str">
        <f>H107&amp;I107</f>
        <v>CMCON=  %00010010</v>
      </c>
      <c r="B107" s="42"/>
      <c r="C107" s="42"/>
      <c r="D107" s="112" t="s">
        <v>131</v>
      </c>
      <c r="E107" s="120"/>
      <c r="F107" s="120"/>
      <c r="G107" s="114" t="str">
        <f>"  b'"&amp;F94&amp;F95&amp;F96&amp;F97&amp;F98&amp;F99&amp;F100&amp;F101&amp;"'"</f>
        <v>  b'00010010'</v>
      </c>
      <c r="H107" s="115" t="s">
        <v>314</v>
      </c>
      <c r="I107" s="112" t="str">
        <f>"  %"&amp;F94&amp;F95&amp;F96&amp;F97&amp;F98&amp;F99&amp;F100&amp;F101</f>
        <v>  %00010010</v>
      </c>
      <c r="J107" s="43"/>
      <c r="K107" s="2"/>
      <c r="L107" s="2"/>
      <c r="M107" s="2"/>
      <c r="N107" s="2"/>
    </row>
    <row r="108" spans="1:14" ht="12.75">
      <c r="A108" s="38"/>
      <c r="B108" s="2"/>
      <c r="C108" s="2"/>
      <c r="D108" s="2"/>
      <c r="E108" s="2"/>
      <c r="F108" s="2"/>
      <c r="G108" s="2"/>
      <c r="H108" s="2"/>
      <c r="I108" s="2"/>
      <c r="J108" s="39"/>
      <c r="K108" s="2"/>
      <c r="L108" s="2"/>
      <c r="M108" s="2"/>
      <c r="N108" s="2"/>
    </row>
    <row r="109" spans="1:14" ht="12.75">
      <c r="A109" s="38"/>
      <c r="B109" s="2"/>
      <c r="C109" s="2"/>
      <c r="D109" s="2"/>
      <c r="E109" s="2"/>
      <c r="F109" s="2"/>
      <c r="G109" s="2"/>
      <c r="H109" s="2"/>
      <c r="I109" s="2"/>
      <c r="J109" s="39"/>
      <c r="K109" s="2"/>
      <c r="L109" s="2"/>
      <c r="M109" s="2"/>
      <c r="N109" s="2"/>
    </row>
    <row r="110" spans="1:14" ht="12.75">
      <c r="A110" s="38"/>
      <c r="B110" s="2"/>
      <c r="C110" s="10" t="s">
        <v>132</v>
      </c>
      <c r="D110" s="5" t="s">
        <v>225</v>
      </c>
      <c r="E110" s="2"/>
      <c r="F110" s="2"/>
      <c r="G110" s="2"/>
      <c r="H110" s="2"/>
      <c r="I110" s="2"/>
      <c r="J110" s="39"/>
      <c r="K110" s="2"/>
      <c r="L110" s="2"/>
      <c r="M110" s="2"/>
      <c r="N110" s="2"/>
    </row>
    <row r="111" spans="1:14" ht="12.75">
      <c r="A111" s="19" t="s">
        <v>315</v>
      </c>
      <c r="B111" s="19" t="s">
        <v>316</v>
      </c>
      <c r="C111" s="2"/>
      <c r="D111" s="2"/>
      <c r="E111" s="2" t="s">
        <v>133</v>
      </c>
      <c r="F111" s="2"/>
      <c r="G111" s="2"/>
      <c r="H111" s="2"/>
      <c r="I111" s="2"/>
      <c r="J111" s="39"/>
      <c r="K111" s="2"/>
      <c r="L111" s="2"/>
      <c r="M111" s="2"/>
      <c r="N111" s="2"/>
    </row>
    <row r="112" spans="2:14" ht="18.75" thickBot="1">
      <c r="B112" s="2"/>
      <c r="C112" s="2"/>
      <c r="D112" s="2"/>
      <c r="E112" s="17" t="s">
        <v>134</v>
      </c>
      <c r="F112" s="255">
        <v>5</v>
      </c>
      <c r="G112" s="5" t="s">
        <v>135</v>
      </c>
      <c r="J112" s="39"/>
      <c r="K112" s="2"/>
      <c r="L112" s="2"/>
      <c r="M112" s="2"/>
      <c r="N112" s="2"/>
    </row>
    <row r="113" spans="1:14" ht="15.75">
      <c r="A113" s="38"/>
      <c r="B113" s="2"/>
      <c r="C113" s="29" t="s">
        <v>318</v>
      </c>
      <c r="D113" s="30" t="s">
        <v>53</v>
      </c>
      <c r="E113" s="2" t="s">
        <v>136</v>
      </c>
      <c r="F113" s="66">
        <v>1</v>
      </c>
      <c r="G113" s="93" t="str">
        <f>IF(F113=1," référence active","référence non active")</f>
        <v> référence active</v>
      </c>
      <c r="H113" s="2"/>
      <c r="I113" s="2"/>
      <c r="J113" s="39"/>
      <c r="K113" s="2"/>
      <c r="L113" s="2"/>
      <c r="M113" s="2"/>
      <c r="N113" s="2"/>
    </row>
    <row r="114" spans="1:14" ht="15.75">
      <c r="A114" s="38"/>
      <c r="B114" s="2"/>
      <c r="C114" s="29" t="s">
        <v>319</v>
      </c>
      <c r="D114" s="30" t="s">
        <v>29</v>
      </c>
      <c r="E114" s="2" t="s">
        <v>284</v>
      </c>
      <c r="F114" s="79">
        <v>0</v>
      </c>
      <c r="G114" s="93" t="str">
        <f>IF(F114=1," V.ref. sur RA2","V.ref NON active sur RA2")</f>
        <v>V.ref NON active sur RA2</v>
      </c>
      <c r="H114" s="4"/>
      <c r="I114" s="2"/>
      <c r="J114" s="39"/>
      <c r="K114" s="2"/>
      <c r="L114" s="2"/>
      <c r="M114" s="2"/>
      <c r="N114" s="2"/>
    </row>
    <row r="115" spans="1:14" ht="15.75">
      <c r="A115" s="38"/>
      <c r="B115" s="2"/>
      <c r="C115" s="29" t="s">
        <v>320</v>
      </c>
      <c r="D115" s="30" t="s">
        <v>32</v>
      </c>
      <c r="E115" s="2" t="s">
        <v>137</v>
      </c>
      <c r="F115" s="84">
        <v>1</v>
      </c>
      <c r="G115" s="24" t="s">
        <v>325</v>
      </c>
      <c r="I115" s="2"/>
      <c r="J115" s="39"/>
      <c r="K115" s="2"/>
      <c r="L115" s="2"/>
      <c r="M115" s="2"/>
      <c r="N115" s="2"/>
    </row>
    <row r="116" spans="1:14" ht="15.75">
      <c r="A116" s="38"/>
      <c r="B116" s="2"/>
      <c r="C116" s="29" t="s">
        <v>321</v>
      </c>
      <c r="D116" s="30" t="s">
        <v>35</v>
      </c>
      <c r="E116" s="2"/>
      <c r="F116" s="135">
        <v>0</v>
      </c>
      <c r="G116" s="24" t="s">
        <v>300</v>
      </c>
      <c r="H116" s="246">
        <f>(F112*1/4)+(I117/32*F112)</f>
        <v>3.28125</v>
      </c>
      <c r="I116" s="2"/>
      <c r="J116" s="39"/>
      <c r="K116" s="2"/>
      <c r="L116" s="2"/>
      <c r="M116" s="2"/>
      <c r="N116" s="2"/>
    </row>
    <row r="117" spans="1:14" ht="15.75">
      <c r="A117" s="38"/>
      <c r="B117" s="2"/>
      <c r="C117" s="29" t="s">
        <v>322</v>
      </c>
      <c r="D117" s="30" t="s">
        <v>39</v>
      </c>
      <c r="E117" s="2"/>
      <c r="F117" s="84">
        <v>1</v>
      </c>
      <c r="G117" s="4"/>
      <c r="H117" s="13">
        <f>IF(F117=1,8,0)</f>
        <v>8</v>
      </c>
      <c r="I117" s="245">
        <f>SUM(H117:H120)</f>
        <v>13</v>
      </c>
      <c r="J117" s="39"/>
      <c r="K117" s="2"/>
      <c r="L117" s="2"/>
      <c r="M117" s="2"/>
      <c r="N117" s="2"/>
    </row>
    <row r="118" spans="1:14" ht="15.75">
      <c r="A118" s="38"/>
      <c r="B118" s="4"/>
      <c r="C118" s="29" t="s">
        <v>323</v>
      </c>
      <c r="D118" s="30" t="s">
        <v>41</v>
      </c>
      <c r="E118" s="2"/>
      <c r="F118" s="252">
        <v>1</v>
      </c>
      <c r="G118" s="4"/>
      <c r="H118" s="13">
        <f>IF(F118=1,4,0)</f>
        <v>4</v>
      </c>
      <c r="I118" s="2"/>
      <c r="J118" s="39"/>
      <c r="K118" s="2"/>
      <c r="L118" s="2"/>
      <c r="M118" s="2"/>
      <c r="N118" s="2"/>
    </row>
    <row r="119" spans="1:14" ht="15.75">
      <c r="A119" s="38"/>
      <c r="B119" s="2"/>
      <c r="C119" s="29" t="s">
        <v>324</v>
      </c>
      <c r="D119" s="30" t="s">
        <v>44</v>
      </c>
      <c r="E119" s="2"/>
      <c r="F119" s="252">
        <v>0</v>
      </c>
      <c r="G119" s="4"/>
      <c r="H119" s="13">
        <f>IF(F119=1,2,0)</f>
        <v>0</v>
      </c>
      <c r="I119" s="2"/>
      <c r="J119" s="39"/>
      <c r="K119" s="2"/>
      <c r="L119" s="2"/>
      <c r="M119" s="2"/>
      <c r="N119" s="2"/>
    </row>
    <row r="120" spans="1:14" ht="16.5" thickBot="1">
      <c r="A120" s="38"/>
      <c r="B120" s="2"/>
      <c r="C120" s="29" t="s">
        <v>317</v>
      </c>
      <c r="D120" s="30" t="s">
        <v>48</v>
      </c>
      <c r="E120" s="2"/>
      <c r="F120" s="253">
        <v>1</v>
      </c>
      <c r="G120" s="4"/>
      <c r="H120" s="13">
        <f>IF(F120=1,1,0)</f>
        <v>1</v>
      </c>
      <c r="I120" s="2"/>
      <c r="J120" s="39"/>
      <c r="K120" s="2"/>
      <c r="L120" s="2"/>
      <c r="M120" s="2"/>
      <c r="N120" s="2"/>
    </row>
    <row r="121" spans="1:14" ht="15.75">
      <c r="A121" s="38"/>
      <c r="B121" s="2"/>
      <c r="C121" s="2"/>
      <c r="D121" s="2"/>
      <c r="E121" s="243" t="s">
        <v>298</v>
      </c>
      <c r="F121" s="242">
        <f>IF(F115=1,(I117/24*F112),((F112*1/4)+(I117/32*F112)))</f>
        <v>2.708333333333333</v>
      </c>
      <c r="G121" s="244" t="s">
        <v>299</v>
      </c>
      <c r="J121" s="39"/>
      <c r="K121" s="2"/>
      <c r="L121" s="2"/>
      <c r="M121" s="2"/>
      <c r="N121" s="2"/>
    </row>
    <row r="122" spans="1:14" ht="16.5" thickBot="1">
      <c r="A122" s="254" t="str">
        <f>H122&amp;I122</f>
        <v>VRCON=  %10101101</v>
      </c>
      <c r="B122" s="42"/>
      <c r="C122" s="42"/>
      <c r="D122" s="112" t="s">
        <v>138</v>
      </c>
      <c r="E122" s="120"/>
      <c r="F122" s="120"/>
      <c r="G122" s="114" t="str">
        <f>"  b'"&amp;F113&amp;F114&amp;F115&amp;F116&amp;F117&amp;F118&amp;F119&amp;F120&amp;"'"</f>
        <v>  b'10101101'</v>
      </c>
      <c r="H122" s="115" t="s">
        <v>139</v>
      </c>
      <c r="I122" s="112" t="str">
        <f>"  %"&amp;F113&amp;F114&amp;F115&amp;F116&amp;F117&amp;F118&amp;F119&amp;F120</f>
        <v>  %10101101</v>
      </c>
      <c r="J122" s="43"/>
      <c r="K122" s="2"/>
      <c r="L122" s="2"/>
      <c r="M122" s="2"/>
      <c r="N122" s="2"/>
    </row>
    <row r="123" spans="11:14" ht="12.75">
      <c r="K123" s="2"/>
      <c r="L123" s="2"/>
      <c r="M123" s="2"/>
      <c r="N123" s="2"/>
    </row>
    <row r="124" spans="1:14" ht="15.75">
      <c r="A124" s="256"/>
      <c r="B124" s="256"/>
      <c r="D124" s="257" t="s">
        <v>333</v>
      </c>
      <c r="E124" s="258">
        <f>F112</f>
        <v>5</v>
      </c>
      <c r="F124" s="244" t="s">
        <v>299</v>
      </c>
      <c r="K124" s="2"/>
      <c r="L124" s="2"/>
      <c r="M124" s="2"/>
      <c r="N124" s="2"/>
    </row>
    <row r="125" spans="11:14" ht="13.5" thickBot="1">
      <c r="K125" s="2"/>
      <c r="L125" s="2"/>
      <c r="M125" s="2"/>
      <c r="N125" s="2"/>
    </row>
    <row r="126" spans="1:14" ht="12.75">
      <c r="A126" s="260" t="s">
        <v>332</v>
      </c>
      <c r="B126" s="277" t="s">
        <v>32</v>
      </c>
      <c r="C126" s="278"/>
      <c r="D126" s="260" t="s">
        <v>332</v>
      </c>
      <c r="E126" s="277" t="s">
        <v>32</v>
      </c>
      <c r="F126" s="278"/>
      <c r="K126" s="2"/>
      <c r="L126" s="2"/>
      <c r="M126" s="2"/>
      <c r="N126" s="2"/>
    </row>
    <row r="127" spans="2:14" ht="12.75">
      <c r="B127" s="264">
        <v>0</v>
      </c>
      <c r="C127" s="269">
        <v>1</v>
      </c>
      <c r="E127" s="264">
        <v>0</v>
      </c>
      <c r="F127" s="269">
        <v>1</v>
      </c>
      <c r="K127" s="2"/>
      <c r="L127" s="2"/>
      <c r="M127" s="2"/>
      <c r="N127" s="2"/>
    </row>
    <row r="128" spans="1:14" ht="12.75">
      <c r="A128" s="261" t="s">
        <v>317</v>
      </c>
      <c r="B128" s="267">
        <v>1.25</v>
      </c>
      <c r="C128" s="270">
        <v>0</v>
      </c>
      <c r="D128" s="261" t="s">
        <v>334</v>
      </c>
      <c r="E128" s="265">
        <v>2.5</v>
      </c>
      <c r="F128" s="270">
        <v>1.667</v>
      </c>
      <c r="K128" s="2"/>
      <c r="L128" s="2"/>
      <c r="M128" s="2"/>
      <c r="N128" s="2"/>
    </row>
    <row r="129" spans="1:14" ht="12.75">
      <c r="A129" s="261" t="s">
        <v>324</v>
      </c>
      <c r="B129" s="267">
        <v>1.406</v>
      </c>
      <c r="C129" s="270">
        <v>0.208</v>
      </c>
      <c r="D129" s="261" t="s">
        <v>335</v>
      </c>
      <c r="E129" s="265">
        <v>2.656</v>
      </c>
      <c r="F129" s="270">
        <v>1.875</v>
      </c>
      <c r="K129" s="2"/>
      <c r="L129" s="2"/>
      <c r="M129" s="2"/>
      <c r="N129" s="2"/>
    </row>
    <row r="130" spans="1:14" ht="12.75">
      <c r="A130" s="261" t="s">
        <v>326</v>
      </c>
      <c r="B130" s="267">
        <v>1.563</v>
      </c>
      <c r="C130" s="270">
        <v>0.417</v>
      </c>
      <c r="D130" s="261" t="s">
        <v>336</v>
      </c>
      <c r="E130" s="265">
        <v>2.813</v>
      </c>
      <c r="F130" s="270">
        <v>2.083</v>
      </c>
      <c r="K130" s="2"/>
      <c r="L130" s="2"/>
      <c r="M130" s="2"/>
      <c r="N130" s="2"/>
    </row>
    <row r="131" spans="1:14" ht="12.75">
      <c r="A131" s="261" t="s">
        <v>327</v>
      </c>
      <c r="B131" s="267">
        <v>1.719</v>
      </c>
      <c r="C131" s="270">
        <v>0.625</v>
      </c>
      <c r="D131" s="261" t="s">
        <v>337</v>
      </c>
      <c r="E131" s="265">
        <v>2.969</v>
      </c>
      <c r="F131" s="270">
        <v>2.292</v>
      </c>
      <c r="K131" s="2"/>
      <c r="L131" s="2"/>
      <c r="M131" s="2"/>
      <c r="N131" s="2"/>
    </row>
    <row r="132" spans="1:14" ht="12.75">
      <c r="A132" s="261" t="s">
        <v>328</v>
      </c>
      <c r="B132" s="267">
        <v>1.875</v>
      </c>
      <c r="C132" s="270">
        <v>0.833</v>
      </c>
      <c r="D132" s="261" t="s">
        <v>338</v>
      </c>
      <c r="E132" s="265">
        <v>3.125</v>
      </c>
      <c r="F132" s="270">
        <v>2.5</v>
      </c>
      <c r="K132" s="2"/>
      <c r="L132" s="2"/>
      <c r="M132" s="2"/>
      <c r="N132" s="2"/>
    </row>
    <row r="133" spans="1:14" ht="12.75">
      <c r="A133" s="261" t="s">
        <v>329</v>
      </c>
      <c r="B133" s="267">
        <v>2.031</v>
      </c>
      <c r="C133" s="270">
        <v>1.042</v>
      </c>
      <c r="D133" s="261" t="s">
        <v>339</v>
      </c>
      <c r="E133" s="265">
        <v>3.281</v>
      </c>
      <c r="F133" s="270">
        <v>2.708</v>
      </c>
      <c r="K133" s="2"/>
      <c r="L133" s="2"/>
      <c r="M133" s="2"/>
      <c r="N133" s="2"/>
    </row>
    <row r="134" spans="1:14" ht="12.75">
      <c r="A134" s="261" t="s">
        <v>330</v>
      </c>
      <c r="B134" s="267">
        <v>2.188</v>
      </c>
      <c r="C134" s="270">
        <v>1.25</v>
      </c>
      <c r="D134" s="261" t="s">
        <v>340</v>
      </c>
      <c r="E134" s="265">
        <v>3.281</v>
      </c>
      <c r="F134" s="270">
        <v>2.917</v>
      </c>
      <c r="K134" s="2"/>
      <c r="L134" s="2"/>
      <c r="M134" s="2"/>
      <c r="N134" s="2"/>
    </row>
    <row r="135" spans="1:14" ht="13.5" thickBot="1">
      <c r="A135" s="262" t="s">
        <v>331</v>
      </c>
      <c r="B135" s="268">
        <v>2.344</v>
      </c>
      <c r="C135" s="271">
        <v>1.458</v>
      </c>
      <c r="D135" s="262" t="s">
        <v>341</v>
      </c>
      <c r="E135" s="266">
        <v>3.594</v>
      </c>
      <c r="F135" s="271">
        <v>3.125</v>
      </c>
      <c r="K135" s="2"/>
      <c r="L135" s="2"/>
      <c r="M135" s="2"/>
      <c r="N135" s="2"/>
    </row>
    <row r="136" spans="11:14" ht="13.5" thickBot="1">
      <c r="K136" s="2"/>
      <c r="L136" s="2"/>
      <c r="M136" s="2"/>
      <c r="N136" s="2"/>
    </row>
    <row r="137" spans="1:14" ht="12.75">
      <c r="A137" s="34"/>
      <c r="B137" s="35"/>
      <c r="C137" s="35"/>
      <c r="D137" s="35"/>
      <c r="E137" s="35"/>
      <c r="F137" s="35"/>
      <c r="G137" s="35"/>
      <c r="H137" s="35"/>
      <c r="I137" s="35"/>
      <c r="J137" s="37"/>
      <c r="K137" s="2"/>
      <c r="L137" s="2"/>
      <c r="M137" s="2"/>
      <c r="N137" s="2"/>
    </row>
    <row r="138" spans="1:14" ht="12.75">
      <c r="A138" s="38" t="s">
        <v>310</v>
      </c>
      <c r="B138" s="2"/>
      <c r="C138" s="2"/>
      <c r="D138" s="2"/>
      <c r="E138" s="2"/>
      <c r="F138" s="2"/>
      <c r="G138" s="2"/>
      <c r="H138" s="2"/>
      <c r="I138" s="2"/>
      <c r="J138" s="39"/>
      <c r="K138" s="2"/>
      <c r="L138" s="2"/>
      <c r="M138" s="2"/>
      <c r="N138" s="2"/>
    </row>
    <row r="139" spans="1:14" ht="12.75">
      <c r="A139" s="38"/>
      <c r="B139" s="4"/>
      <c r="C139" s="10" t="s">
        <v>182</v>
      </c>
      <c r="D139" s="5" t="s">
        <v>295</v>
      </c>
      <c r="E139" s="5"/>
      <c r="F139" s="1"/>
      <c r="G139" s="1"/>
      <c r="H139" s="4"/>
      <c r="I139" s="2"/>
      <c r="J139" s="39"/>
      <c r="K139" s="2"/>
      <c r="L139" s="2"/>
      <c r="M139" s="2"/>
      <c r="N139" s="2"/>
    </row>
    <row r="140" spans="1:14" ht="12.75">
      <c r="A140" s="38"/>
      <c r="B140" s="2"/>
      <c r="C140" s="2"/>
      <c r="D140" s="2"/>
      <c r="E140" s="2"/>
      <c r="F140" s="2"/>
      <c r="G140" s="2"/>
      <c r="H140" s="2"/>
      <c r="I140" s="2"/>
      <c r="J140" s="39"/>
      <c r="K140" s="2"/>
      <c r="L140" s="2"/>
      <c r="M140" s="2"/>
      <c r="N140" s="2"/>
    </row>
    <row r="141" spans="1:14" ht="13.5" thickBot="1">
      <c r="A141" s="38"/>
      <c r="B141" s="2"/>
      <c r="C141" s="2"/>
      <c r="D141" s="2"/>
      <c r="E141" s="2"/>
      <c r="F141" s="2"/>
      <c r="G141" s="2"/>
      <c r="H141" s="2"/>
      <c r="I141" s="2"/>
      <c r="J141" s="39"/>
      <c r="K141" s="2"/>
      <c r="L141" s="2"/>
      <c r="M141" s="2"/>
      <c r="N141" s="2"/>
    </row>
    <row r="142" spans="1:14" ht="15.75">
      <c r="A142" s="38"/>
      <c r="B142" s="2"/>
      <c r="C142" s="2"/>
      <c r="D142" s="2" t="s">
        <v>53</v>
      </c>
      <c r="E142" s="2"/>
      <c r="F142" s="139">
        <v>0</v>
      </c>
      <c r="G142" s="2" t="s">
        <v>272</v>
      </c>
      <c r="H142" s="2"/>
      <c r="I142" s="2"/>
      <c r="J142" s="223"/>
      <c r="K142" s="2"/>
      <c r="L142" s="2"/>
      <c r="M142" s="2"/>
      <c r="N142" s="2"/>
    </row>
    <row r="143" spans="1:14" ht="15.75">
      <c r="A143" s="38"/>
      <c r="B143" s="2"/>
      <c r="C143" s="2"/>
      <c r="D143" s="2" t="s">
        <v>29</v>
      </c>
      <c r="E143" s="2"/>
      <c r="F143" s="136">
        <v>0</v>
      </c>
      <c r="G143" s="2" t="s">
        <v>272</v>
      </c>
      <c r="H143" s="2"/>
      <c r="I143" s="2"/>
      <c r="J143" s="223"/>
      <c r="K143" s="2"/>
      <c r="L143" s="2"/>
      <c r="M143" s="2"/>
      <c r="N143" s="2"/>
    </row>
    <row r="144" spans="1:14" ht="15.75">
      <c r="A144" s="38"/>
      <c r="B144" s="2"/>
      <c r="C144" s="2"/>
      <c r="D144" s="2" t="s">
        <v>32</v>
      </c>
      <c r="E144" s="2"/>
      <c r="F144" s="136">
        <v>0</v>
      </c>
      <c r="G144" s="2" t="s">
        <v>272</v>
      </c>
      <c r="H144" s="2"/>
      <c r="I144" s="2"/>
      <c r="J144" s="223"/>
      <c r="K144" s="2"/>
      <c r="L144" s="2"/>
      <c r="M144" s="2"/>
      <c r="N144" s="2"/>
    </row>
    <row r="145" spans="1:14" ht="15.75">
      <c r="A145" s="38"/>
      <c r="B145" s="2"/>
      <c r="C145" s="2"/>
      <c r="D145" s="2" t="s">
        <v>35</v>
      </c>
      <c r="E145" s="2"/>
      <c r="F145" s="136">
        <v>0</v>
      </c>
      <c r="G145" s="2" t="s">
        <v>272</v>
      </c>
      <c r="H145" s="2"/>
      <c r="I145" s="2"/>
      <c r="J145" s="223"/>
      <c r="K145" s="2"/>
      <c r="L145" s="2"/>
      <c r="M145" s="2"/>
      <c r="N145" s="2"/>
    </row>
    <row r="146" spans="1:14" ht="15.75">
      <c r="A146" s="38"/>
      <c r="B146" s="2"/>
      <c r="C146" s="2"/>
      <c r="D146" s="2" t="s">
        <v>39</v>
      </c>
      <c r="E146" s="2"/>
      <c r="F146" s="68">
        <v>1</v>
      </c>
      <c r="G146" s="93" t="str">
        <f>IF(F146=1,"4Mhz","37K")</f>
        <v>4Mhz</v>
      </c>
      <c r="H146" s="2"/>
      <c r="I146" s="2"/>
      <c r="J146" s="223"/>
      <c r="K146" s="2"/>
      <c r="L146" s="2"/>
      <c r="M146" s="2"/>
      <c r="N146" s="2"/>
    </row>
    <row r="147" spans="1:14" ht="15.75">
      <c r="A147" s="38"/>
      <c r="B147" s="2"/>
      <c r="C147" s="2"/>
      <c r="D147" s="2" t="s">
        <v>41</v>
      </c>
      <c r="E147" s="2"/>
      <c r="F147" s="136">
        <v>0</v>
      </c>
      <c r="G147" s="2" t="s">
        <v>272</v>
      </c>
      <c r="H147" s="2"/>
      <c r="I147" s="2"/>
      <c r="J147" s="223"/>
      <c r="K147" s="2"/>
      <c r="L147" s="2"/>
      <c r="M147" s="2"/>
      <c r="N147" s="2"/>
    </row>
    <row r="148" spans="1:14" ht="15.75">
      <c r="A148" s="38"/>
      <c r="B148" s="2"/>
      <c r="C148" s="2"/>
      <c r="D148" s="2" t="s">
        <v>44</v>
      </c>
      <c r="E148" s="2" t="s">
        <v>297</v>
      </c>
      <c r="F148" s="82">
        <v>0</v>
      </c>
      <c r="G148" s="93" t="str">
        <f>IF(F148=1,"il n'y a pas eu  Power-on reset","il y a  eu  Power-on reset")</f>
        <v>il y a  eu  Power-on reset</v>
      </c>
      <c r="H148" s="2"/>
      <c r="I148" s="2"/>
      <c r="J148" s="223"/>
      <c r="K148" s="2"/>
      <c r="L148" s="2"/>
      <c r="M148" s="2"/>
      <c r="N148" s="2"/>
    </row>
    <row r="149" spans="1:14" ht="16.5" thickBot="1">
      <c r="A149" s="38"/>
      <c r="B149" s="2"/>
      <c r="C149" s="2"/>
      <c r="D149" s="2" t="s">
        <v>48</v>
      </c>
      <c r="E149" s="2" t="s">
        <v>296</v>
      </c>
      <c r="F149" s="86">
        <v>0</v>
      </c>
      <c r="G149" s="93" t="str">
        <f>IF(F149=1,"il n'y a pas eu de Brown-out reset","il y a eu de Brown-out reset")</f>
        <v>il y a eu de Brown-out reset</v>
      </c>
      <c r="H149" s="2"/>
      <c r="I149" s="2"/>
      <c r="J149" s="223"/>
      <c r="K149" s="2"/>
      <c r="L149" s="2"/>
      <c r="M149" s="2"/>
      <c r="N149" s="2"/>
    </row>
    <row r="150" spans="1:14" ht="15.75">
      <c r="A150" s="38"/>
      <c r="B150" s="2"/>
      <c r="C150" s="2"/>
      <c r="D150" s="2"/>
      <c r="E150" s="2"/>
      <c r="F150" s="32"/>
      <c r="G150" s="11"/>
      <c r="H150" s="2"/>
      <c r="I150" s="2"/>
      <c r="J150" s="39"/>
      <c r="K150" s="2"/>
      <c r="L150" s="2"/>
      <c r="M150" s="2"/>
      <c r="N150" s="2"/>
    </row>
    <row r="151" spans="1:14" ht="16.5" thickBot="1">
      <c r="A151" s="254" t="str">
        <f>H151&amp;I151</f>
        <v>PIR1=  %00001000</v>
      </c>
      <c r="B151" s="42"/>
      <c r="C151" s="42"/>
      <c r="D151" s="112" t="s">
        <v>283</v>
      </c>
      <c r="E151" s="42"/>
      <c r="F151" s="113"/>
      <c r="G151" s="114" t="str">
        <f>"  b'"&amp;F142&amp;F143&amp;F144&amp;F145&amp;F146&amp;F147&amp;F148&amp;F149&amp;"'"</f>
        <v>  b'00001000'</v>
      </c>
      <c r="H151" s="115" t="s">
        <v>188</v>
      </c>
      <c r="I151" s="119" t="str">
        <f>"  %"&amp;F142&amp;F143&amp;F144&amp;F145&amp;F146&amp;F147&amp;F148&amp;F149</f>
        <v>  %00001000</v>
      </c>
      <c r="J151" s="43"/>
      <c r="K151" s="2"/>
      <c r="L151" s="2"/>
      <c r="M151" s="2"/>
      <c r="N151" s="2"/>
    </row>
    <row r="152" spans="11:14" ht="12.75">
      <c r="K152" s="2"/>
      <c r="L152" s="2"/>
      <c r="M152" s="2"/>
      <c r="N152" s="2"/>
    </row>
    <row r="153" spans="11:14" ht="12.75">
      <c r="K153" s="2"/>
      <c r="L153" s="2"/>
      <c r="M153" s="2"/>
      <c r="N153" s="2"/>
    </row>
    <row r="154" spans="11:14" ht="12.75">
      <c r="K154" s="2"/>
      <c r="L154" s="2"/>
      <c r="M154" s="2"/>
      <c r="N154" s="2"/>
    </row>
    <row r="155" spans="11:14" ht="12.75">
      <c r="K155" s="2"/>
      <c r="L155" s="2"/>
      <c r="M155" s="2"/>
      <c r="N155" s="2"/>
    </row>
    <row r="156" spans="11:14" ht="12.75">
      <c r="K156" s="2"/>
      <c r="L156" s="2"/>
      <c r="M156" s="2"/>
      <c r="N156" s="2"/>
    </row>
    <row r="157" spans="11:14" ht="12.75">
      <c r="K157" s="2"/>
      <c r="L157" s="2"/>
      <c r="M157" s="2"/>
      <c r="N157" s="2"/>
    </row>
    <row r="158" spans="11:14" ht="12.75">
      <c r="K158" s="2"/>
      <c r="L158" s="2"/>
      <c r="M158" s="2"/>
      <c r="N158" s="2"/>
    </row>
    <row r="159" spans="11:14" ht="12.75">
      <c r="K159" s="2"/>
      <c r="L159" s="2"/>
      <c r="M159" s="2"/>
      <c r="N159" s="2"/>
    </row>
    <row r="160" spans="11:14" ht="12.75">
      <c r="K160" s="2"/>
      <c r="L160" s="2"/>
      <c r="M160" s="2"/>
      <c r="N160" s="2"/>
    </row>
    <row r="161" spans="11:14" ht="12.75">
      <c r="K161" s="2"/>
      <c r="L161" s="2"/>
      <c r="M161" s="2"/>
      <c r="N161" s="2"/>
    </row>
    <row r="162" spans="11:14" ht="12.75">
      <c r="K162" s="2"/>
      <c r="L162" s="2"/>
      <c r="M162" s="2"/>
      <c r="N162" s="2"/>
    </row>
    <row r="163" spans="11:14" ht="12.75">
      <c r="K163" s="2"/>
      <c r="L163" s="2"/>
      <c r="M163" s="2"/>
      <c r="N163" s="2"/>
    </row>
    <row r="164" spans="11:14" ht="12.75">
      <c r="K164" s="2"/>
      <c r="L164" s="2"/>
      <c r="M164" s="2"/>
      <c r="N164" s="2"/>
    </row>
    <row r="165" spans="11:14" ht="12.75">
      <c r="K165" s="2"/>
      <c r="L165" s="2"/>
      <c r="M165" s="2"/>
      <c r="N165" s="2"/>
    </row>
    <row r="166" spans="11:14" ht="12.75">
      <c r="K166" s="2"/>
      <c r="L166" s="2"/>
      <c r="M166" s="2"/>
      <c r="N166" s="2"/>
    </row>
    <row r="167" spans="11:14" ht="12.75">
      <c r="K167" s="2"/>
      <c r="L167" s="2"/>
      <c r="M167" s="2"/>
      <c r="N167" s="2"/>
    </row>
    <row r="168" spans="11:14" ht="12.75">
      <c r="K168" s="2"/>
      <c r="L168" s="2"/>
      <c r="M168" s="2"/>
      <c r="N168" s="2"/>
    </row>
    <row r="169" spans="11:14" ht="12.75">
      <c r="K169" s="2"/>
      <c r="L169" s="2"/>
      <c r="M169" s="2"/>
      <c r="N169" s="2"/>
    </row>
    <row r="170" spans="11:14" ht="12.75">
      <c r="K170" s="2"/>
      <c r="L170" s="2"/>
      <c r="M170" s="2"/>
      <c r="N170" s="2"/>
    </row>
    <row r="171" spans="11:14" ht="12.75">
      <c r="K171" s="2"/>
      <c r="L171" s="2"/>
      <c r="M171" s="2"/>
      <c r="N171" s="2"/>
    </row>
    <row r="172" spans="11:14" ht="12.75">
      <c r="K172" s="2"/>
      <c r="L172" s="2"/>
      <c r="M172" s="2"/>
      <c r="N172" s="2"/>
    </row>
    <row r="173" spans="11:14" ht="12.75">
      <c r="K173" s="2"/>
      <c r="L173" s="2"/>
      <c r="M173" s="2"/>
      <c r="N173" s="2"/>
    </row>
    <row r="174" spans="11:14" ht="12.75">
      <c r="K174" s="2"/>
      <c r="L174" s="2"/>
      <c r="M174" s="2"/>
      <c r="N174" s="2"/>
    </row>
    <row r="175" spans="11:14" ht="12.75">
      <c r="K175" s="2"/>
      <c r="L175" s="2"/>
      <c r="M175" s="2"/>
      <c r="N175" s="2"/>
    </row>
    <row r="176" spans="11:14" ht="12.75">
      <c r="K176" s="2"/>
      <c r="L176" s="2"/>
      <c r="M176" s="2"/>
      <c r="N176" s="2"/>
    </row>
    <row r="177" spans="11:14" ht="12.75">
      <c r="K177" s="2"/>
      <c r="L177" s="2"/>
      <c r="M177" s="2"/>
      <c r="N177" s="2"/>
    </row>
    <row r="178" spans="11:14" ht="12.75">
      <c r="K178" s="2"/>
      <c r="L178" s="2"/>
      <c r="M178" s="2"/>
      <c r="N178" s="2"/>
    </row>
    <row r="179" spans="11:14" ht="12.75">
      <c r="K179" s="2"/>
      <c r="L179" s="2"/>
      <c r="M179" s="2"/>
      <c r="N179" s="2"/>
    </row>
  </sheetData>
  <sheetProtection sheet="1" objects="1" scenarios="1"/>
  <mergeCells count="2">
    <mergeCell ref="B126:C126"/>
    <mergeCell ref="E126:F126"/>
  </mergeCells>
  <conditionalFormatting sqref="E11">
    <cfRule type="cellIs" priority="1" dxfId="0" operator="equal" stopIfTrue="1">
      <formula>1</formula>
    </cfRule>
  </conditionalFormatting>
  <conditionalFormatting sqref="E10">
    <cfRule type="cellIs" priority="2" dxfId="0" operator="greaterThan" stopIfTrue="1">
      <formula>1</formula>
    </cfRule>
  </conditionalFormatting>
  <printOptions/>
  <pageMargins left="0.75" right="0.75" top="1" bottom="1" header="0.4921259845" footer="0.4921259845"/>
  <pageSetup fitToHeight="2" fitToWidth="1" horizontalDpi="600" verticalDpi="600" orientation="landscape" paperSize="9" scale="65" r:id="rId4"/>
  <rowBreaks count="3" manualBreakCount="3">
    <brk id="31" max="9" man="1"/>
    <brk id="72" max="9" man="1"/>
    <brk id="106" max="9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7"/>
  <sheetViews>
    <sheetView workbookViewId="0" topLeftCell="A1">
      <selection activeCell="E16" sqref="E16"/>
    </sheetView>
  </sheetViews>
  <sheetFormatPr defaultColWidth="11.421875" defaultRowHeight="12.75"/>
  <cols>
    <col min="5" max="5" width="22.8515625" style="0" customWidth="1"/>
    <col min="7" max="7" width="19.00390625" style="0" customWidth="1"/>
    <col min="8" max="8" width="11.421875" style="0" hidden="1" customWidth="1"/>
    <col min="10" max="10" width="0.13671875" style="0" customWidth="1"/>
    <col min="11" max="14" width="3.8515625" style="0" hidden="1" customWidth="1"/>
    <col min="15" max="15" width="4.57421875" style="0" hidden="1" customWidth="1"/>
    <col min="16" max="16" width="4.8515625" style="0" hidden="1" customWidth="1"/>
    <col min="17" max="18" width="4.57421875" style="0" hidden="1" customWidth="1"/>
    <col min="19" max="19" width="4.28125" style="0" hidden="1" customWidth="1"/>
    <col min="20" max="20" width="3.7109375" style="0" hidden="1" customWidth="1"/>
    <col min="21" max="21" width="5.421875" style="0" hidden="1" customWidth="1"/>
    <col min="22" max="22" width="5.57421875" style="0" hidden="1" customWidth="1"/>
    <col min="23" max="27" width="4.7109375" style="0" hidden="1" customWidth="1"/>
    <col min="28" max="29" width="4.7109375" style="0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20" ht="12.75">
      <c r="A2" s="2" t="s">
        <v>302</v>
      </c>
      <c r="B2" s="2"/>
      <c r="C2" s="2"/>
      <c r="D2" s="2"/>
      <c r="E2" s="2"/>
      <c r="F2" s="2"/>
      <c r="G2" s="2"/>
      <c r="H2" s="2"/>
      <c r="I2" s="2"/>
      <c r="T2" t="s">
        <v>227</v>
      </c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20" ht="12.75">
      <c r="A4" s="2"/>
      <c r="B4" s="2"/>
      <c r="C4" s="2"/>
      <c r="D4" s="2"/>
      <c r="E4" s="2"/>
      <c r="F4" s="2"/>
      <c r="G4" s="2"/>
      <c r="H4" s="2"/>
      <c r="I4" s="2"/>
      <c r="T4" t="s">
        <v>228</v>
      </c>
    </row>
    <row r="5" spans="1:23" ht="18">
      <c r="A5" s="2"/>
      <c r="B5" s="2"/>
      <c r="C5" s="2"/>
      <c r="D5" s="2"/>
      <c r="E5" s="6" t="s">
        <v>238</v>
      </c>
      <c r="F5" s="2"/>
      <c r="G5" s="178" t="str">
        <f>AA36&amp;AA35&amp;AA34&amp;AA33</f>
        <v>3FF1</v>
      </c>
      <c r="H5" s="2"/>
      <c r="I5" s="2"/>
      <c r="T5" s="144">
        <v>500</v>
      </c>
      <c r="U5" s="2">
        <f>T5/16</f>
        <v>31.25</v>
      </c>
      <c r="V5" s="2">
        <f>T5-INT(U5)*16</f>
        <v>4</v>
      </c>
      <c r="W5" s="19">
        <f>IF(V5=10,"A",IF(V5=11,"B",IF(V5=12,"C",IF(V5=13,"D",IF(V5=14,"E",IF(V5=15,"F",V5))))))</f>
        <v>4</v>
      </c>
    </row>
    <row r="6" spans="1:23" ht="12.75">
      <c r="A6" s="2"/>
      <c r="B6" s="2"/>
      <c r="C6" s="2"/>
      <c r="D6" s="2"/>
      <c r="E6" s="2"/>
      <c r="F6" s="2"/>
      <c r="G6" s="2"/>
      <c r="H6" s="2"/>
      <c r="I6" s="2"/>
      <c r="T6" s="2">
        <f>INT(U5)</f>
        <v>31</v>
      </c>
      <c r="U6" s="2">
        <f>T6/16</f>
        <v>1.9375</v>
      </c>
      <c r="V6" s="2">
        <f>T6-INT(U6)*16</f>
        <v>15</v>
      </c>
      <c r="W6" s="19" t="str">
        <f>IF(V6=10,"A",IF(V6=11,"B",IF(V6=12,"C",IF(V6=13,"D",IF(V6=14,"E",IF(V6=15,"F",V6))))))</f>
        <v>F</v>
      </c>
    </row>
    <row r="7" spans="1:23" ht="12.75">
      <c r="A7" s="2"/>
      <c r="B7" s="2"/>
      <c r="C7" s="2"/>
      <c r="D7" s="2"/>
      <c r="E7" s="2"/>
      <c r="F7" s="2"/>
      <c r="G7" s="2"/>
      <c r="H7" s="2"/>
      <c r="I7" s="2"/>
      <c r="T7" s="2">
        <f>INT(U6)</f>
        <v>1</v>
      </c>
      <c r="U7" s="2">
        <f>T7/16</f>
        <v>0.0625</v>
      </c>
      <c r="V7" s="2">
        <f>T7-INT(U7)*16</f>
        <v>1</v>
      </c>
      <c r="W7" s="19">
        <f>IF(V7=10,"A",IF(V7=11,"B",IF(V7=12,"C",IF(V7=13,"D",IF(V7=14,"E",IF(V7=15,"F",V7))))))</f>
        <v>1</v>
      </c>
    </row>
    <row r="8" spans="1:24" ht="12.75">
      <c r="A8" s="2"/>
      <c r="B8" s="2"/>
      <c r="C8" s="2"/>
      <c r="D8" s="2"/>
      <c r="E8" s="2"/>
      <c r="F8" s="2"/>
      <c r="G8" s="2"/>
      <c r="H8" s="2"/>
      <c r="I8" s="2"/>
      <c r="T8" s="2">
        <f>INT(U7)</f>
        <v>0</v>
      </c>
      <c r="U8" s="2">
        <f>T8/16</f>
        <v>0</v>
      </c>
      <c r="V8" s="2">
        <f>T8-INT(U8)*16</f>
        <v>0</v>
      </c>
      <c r="W8" s="19">
        <f>IF(V8=10,"A",IF(V8=11,"B",IF(V8=12,"C",IF(V8=13,"D",IF(V8=14,"E",IF(V8=15,"F",V8))))))</f>
        <v>0</v>
      </c>
      <c r="X8" s="143" t="str">
        <f>W8&amp;W7&amp;W6&amp;W5</f>
        <v>01F4</v>
      </c>
    </row>
    <row r="9" spans="1:9" ht="18">
      <c r="A9" s="2"/>
      <c r="B9" s="2"/>
      <c r="C9" s="2"/>
      <c r="D9" s="6" t="s">
        <v>239</v>
      </c>
      <c r="E9" s="179" t="s">
        <v>240</v>
      </c>
      <c r="F9" s="2"/>
      <c r="H9" s="180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3.5" thickBot="1">
      <c r="A12" s="2"/>
      <c r="B12" s="2"/>
      <c r="C12" s="2"/>
      <c r="D12" s="2"/>
      <c r="E12" s="2"/>
      <c r="F12" s="2"/>
      <c r="G12" s="2"/>
      <c r="H12" s="2"/>
      <c r="I12" s="2"/>
    </row>
    <row r="13" spans="1:23" ht="15.75">
      <c r="A13" s="5" t="s">
        <v>1</v>
      </c>
      <c r="B13" s="2"/>
      <c r="C13" s="2"/>
      <c r="D13" s="58">
        <v>0</v>
      </c>
      <c r="E13" s="110" t="str">
        <f>IF(D13=1,"_CP_ON","_CP_OFF")</f>
        <v>_CP_OFF</v>
      </c>
      <c r="F13" s="110" t="str">
        <f>IF(D13=1,"Protection totale","Pas de protection")</f>
        <v>Pas de protection</v>
      </c>
      <c r="G13" s="2"/>
      <c r="H13" s="2" t="str">
        <f>IF($D$13=1,"000F","3FFF")</f>
        <v>3FFF</v>
      </c>
      <c r="I13" s="181" t="s">
        <v>229</v>
      </c>
      <c r="K13" s="49" t="str">
        <f>LEFT(H13,1)</f>
        <v>3</v>
      </c>
      <c r="L13" s="146" t="str">
        <f aca="true" t="shared" si="0" ref="L13:N16">RIGHT(T13,1)</f>
        <v>F</v>
      </c>
      <c r="M13" s="146" t="str">
        <f t="shared" si="0"/>
        <v>F</v>
      </c>
      <c r="N13" s="147" t="str">
        <f t="shared" si="0"/>
        <v>F</v>
      </c>
      <c r="O13" s="155" t="str">
        <f>IF(K13="A",10,IF(K13="B",11,IF(K13="C",12,IF(K13="D",13,IF(K13="E",14,IF(K13="F",15,K13))))))</f>
        <v>3</v>
      </c>
      <c r="P13" s="158">
        <f aca="true" t="shared" si="1" ref="P13:R16">IF(L13="A",10,IF(L13="B",11,IF(L13="C",12,IF(L13="D",13,IF(L13="E",14,IF(L13="F",15,L13))))))</f>
        <v>15</v>
      </c>
      <c r="Q13" s="159">
        <f t="shared" si="1"/>
        <v>15</v>
      </c>
      <c r="R13" s="162">
        <f t="shared" si="1"/>
        <v>15</v>
      </c>
      <c r="T13" t="str">
        <f>LEFT(H13,2)</f>
        <v>3F</v>
      </c>
      <c r="U13" t="str">
        <f>LEFT(H13,3)</f>
        <v>3FF</v>
      </c>
      <c r="V13" t="str">
        <f>LEFT(H13,4)</f>
        <v>3FFF</v>
      </c>
      <c r="W13" s="177">
        <v>1</v>
      </c>
    </row>
    <row r="14" spans="1:23" ht="15.75">
      <c r="A14" s="5" t="s">
        <v>5</v>
      </c>
      <c r="B14" s="2"/>
      <c r="C14" s="2"/>
      <c r="D14" s="84">
        <v>1</v>
      </c>
      <c r="E14" s="110" t="str">
        <f>IF(D14=1,"_PWRTE_ON","_PWRTE_OFF")</f>
        <v>_PWRTE_ON</v>
      </c>
      <c r="F14" s="110" t="str">
        <f>IF(D14=0,"Demarrage rapide","Demarrage temporisé 72µs")</f>
        <v>Demarrage temporisé 72µs</v>
      </c>
      <c r="G14" s="2"/>
      <c r="H14" s="2" t="str">
        <f>IF($D$14=0,"3FFF","3FF7")</f>
        <v>3FF7</v>
      </c>
      <c r="I14" s="182" t="s">
        <v>39</v>
      </c>
      <c r="K14" s="49" t="str">
        <f>LEFT(H14,1)</f>
        <v>3</v>
      </c>
      <c r="L14" s="19" t="str">
        <f t="shared" si="0"/>
        <v>F</v>
      </c>
      <c r="M14" s="19" t="str">
        <f t="shared" si="0"/>
        <v>F</v>
      </c>
      <c r="N14" s="148" t="str">
        <f t="shared" si="0"/>
        <v>7</v>
      </c>
      <c r="O14" s="152" t="str">
        <f>IF(K14="A",10,IF(K14="B",11,IF(K14="C",12,IF(K14="D",13,IF(K14="E",14,IF(K14="F",15,K14))))))</f>
        <v>3</v>
      </c>
      <c r="P14" s="19">
        <f t="shared" si="1"/>
        <v>15</v>
      </c>
      <c r="Q14" s="19">
        <f t="shared" si="1"/>
        <v>15</v>
      </c>
      <c r="R14" s="148" t="str">
        <f t="shared" si="1"/>
        <v>7</v>
      </c>
      <c r="T14" t="str">
        <f>LEFT(H14,2)</f>
        <v>3F</v>
      </c>
      <c r="U14" t="str">
        <f>LEFT(H14,3)</f>
        <v>3FF</v>
      </c>
      <c r="V14" t="str">
        <f>LEFT(H14,4)</f>
        <v>3FF7</v>
      </c>
      <c r="W14" s="177">
        <v>2</v>
      </c>
    </row>
    <row r="15" spans="1:23" ht="15.75">
      <c r="A15" s="5" t="s">
        <v>6</v>
      </c>
      <c r="B15" s="2"/>
      <c r="C15" s="2"/>
      <c r="D15" s="187">
        <v>0</v>
      </c>
      <c r="E15" s="110" t="str">
        <f>IF(D15=1,"_WDT_ON","_WDT_OFF")</f>
        <v>_WDT_OFF</v>
      </c>
      <c r="F15" s="110" t="str">
        <f>IF(D15=1,"Watchdog en service","Watchdog hors service")</f>
        <v>Watchdog hors service</v>
      </c>
      <c r="G15" s="2"/>
      <c r="H15" s="2" t="str">
        <f>IF($D$15=1,"3FFF","3FFB")</f>
        <v>3FFB</v>
      </c>
      <c r="I15" s="185" t="s">
        <v>41</v>
      </c>
      <c r="K15" s="49" t="str">
        <f>LEFT(H15,1)</f>
        <v>3</v>
      </c>
      <c r="L15" s="19" t="str">
        <f t="shared" si="0"/>
        <v>F</v>
      </c>
      <c r="M15" s="19" t="str">
        <f t="shared" si="0"/>
        <v>F</v>
      </c>
      <c r="N15" s="148" t="str">
        <f t="shared" si="0"/>
        <v>B</v>
      </c>
      <c r="O15" s="152" t="str">
        <f>IF(K15="A",10,IF(K15="B",11,IF(K15="C",12,IF(K15="D",13,IF(K15="E",14,IF(K15="F",15,K15))))))</f>
        <v>3</v>
      </c>
      <c r="P15" s="19">
        <f t="shared" si="1"/>
        <v>15</v>
      </c>
      <c r="Q15" s="19">
        <f t="shared" si="1"/>
        <v>15</v>
      </c>
      <c r="R15" s="148">
        <f t="shared" si="1"/>
        <v>11</v>
      </c>
      <c r="T15" t="str">
        <f>LEFT(H15,2)</f>
        <v>3F</v>
      </c>
      <c r="U15" t="str">
        <f>LEFT(H15,3)</f>
        <v>3FF</v>
      </c>
      <c r="V15" t="str">
        <f>LEFT(H15,4)</f>
        <v>3FFB</v>
      </c>
      <c r="W15" s="177">
        <v>3</v>
      </c>
    </row>
    <row r="16" spans="1:23" ht="16.5" thickBot="1">
      <c r="A16" s="5" t="s">
        <v>241</v>
      </c>
      <c r="B16" s="2"/>
      <c r="C16" s="2"/>
      <c r="D16" s="80">
        <v>1</v>
      </c>
      <c r="E16" s="110" t="str">
        <f>IF(D16=0,G18,IF(D16=F19,G19,IF(D16=F20,G20,IF(D16=F21,G21,IF(D16=F22,G22,IF(D16=#REF!,G25,IF(D16=#REF!,G19,IF(D16=F29,G29))))))))</f>
        <v>_XT_OSC</v>
      </c>
      <c r="F16" s="110" t="s">
        <v>230</v>
      </c>
      <c r="G16" s="2"/>
      <c r="H16" s="2" t="str">
        <f>IF($D$16=0,H18,IF($D$16=1,H19,IF($D$16=2,H20,IF($D$16=3,H21,IF($D$16=5,E17,IF($D16=6,H25,IF($D$16=7,E17,IF($D$16=8,E17,E17))))))))</f>
        <v>3FFD</v>
      </c>
      <c r="I16" s="183" t="s">
        <v>231</v>
      </c>
      <c r="K16" s="149" t="str">
        <f>LEFT(H16,1)</f>
        <v>3</v>
      </c>
      <c r="L16" s="150" t="str">
        <f t="shared" si="0"/>
        <v>F</v>
      </c>
      <c r="M16" s="150" t="str">
        <f t="shared" si="0"/>
        <v>F</v>
      </c>
      <c r="N16" s="151" t="str">
        <f t="shared" si="0"/>
        <v>D</v>
      </c>
      <c r="O16" s="153" t="str">
        <f>IF(K16="A",10,IF(K16="B",11,IF(K16="C",12,IF(K16="D",13,IF(K16="E",14,IF(K16="F",15,K16))))))</f>
        <v>3</v>
      </c>
      <c r="P16" s="150">
        <f t="shared" si="1"/>
        <v>15</v>
      </c>
      <c r="Q16" s="150">
        <f t="shared" si="1"/>
        <v>15</v>
      </c>
      <c r="R16" s="151">
        <f t="shared" si="1"/>
        <v>13</v>
      </c>
      <c r="T16" t="str">
        <f>LEFT(H16,2)</f>
        <v>3F</v>
      </c>
      <c r="U16" t="str">
        <f>LEFT(H16,3)</f>
        <v>3FF</v>
      </c>
      <c r="V16" t="str">
        <f>LEFT(H16,4)</f>
        <v>3FFD</v>
      </c>
      <c r="W16" s="177">
        <v>4</v>
      </c>
    </row>
    <row r="17" spans="1:21" ht="15.75">
      <c r="A17" s="2"/>
      <c r="B17" s="2"/>
      <c r="C17" s="2"/>
      <c r="D17" s="178" t="str">
        <f>G5</f>
        <v>3FF1</v>
      </c>
      <c r="E17" s="145">
        <v>1</v>
      </c>
      <c r="F17" s="13"/>
      <c r="G17" s="13"/>
      <c r="H17" s="91"/>
      <c r="I17" s="2"/>
      <c r="N17" s="177">
        <v>1</v>
      </c>
      <c r="O17" s="177"/>
      <c r="P17" s="177">
        <v>2</v>
      </c>
      <c r="Q17" s="177"/>
      <c r="R17" s="177">
        <v>3</v>
      </c>
      <c r="S17" s="177"/>
      <c r="T17" s="177"/>
      <c r="U17" s="177">
        <v>4</v>
      </c>
    </row>
    <row r="18" spans="1:22" ht="15.75">
      <c r="A18" s="2"/>
      <c r="B18" s="4"/>
      <c r="C18" s="2"/>
      <c r="D18" s="2"/>
      <c r="E18" s="2"/>
      <c r="F18" s="186">
        <v>0</v>
      </c>
      <c r="G18" s="2" t="s">
        <v>193</v>
      </c>
      <c r="H18" s="2" t="s">
        <v>232</v>
      </c>
      <c r="I18" s="2"/>
      <c r="K18" t="s">
        <v>39</v>
      </c>
      <c r="N18" s="161" t="str">
        <f>O13</f>
        <v>3</v>
      </c>
      <c r="O18" s="156">
        <f>N18-2*N19</f>
        <v>1</v>
      </c>
      <c r="P18" s="166">
        <f>P13</f>
        <v>15</v>
      </c>
      <c r="Q18" s="157">
        <f>P18-2*P19</f>
        <v>1</v>
      </c>
      <c r="R18" s="165">
        <f>Q13</f>
        <v>15</v>
      </c>
      <c r="S18" s="160">
        <f>R18-2*R19</f>
        <v>1</v>
      </c>
      <c r="T18" s="163">
        <f>R13</f>
        <v>15</v>
      </c>
      <c r="U18" s="164">
        <f>T18-2*T19</f>
        <v>1</v>
      </c>
      <c r="V18" s="177">
        <v>1</v>
      </c>
    </row>
    <row r="19" spans="1:21" ht="15.75">
      <c r="A19" s="33"/>
      <c r="B19" s="2"/>
      <c r="C19" s="2"/>
      <c r="E19" s="2"/>
      <c r="F19" s="186">
        <v>1</v>
      </c>
      <c r="G19" s="2" t="s">
        <v>18</v>
      </c>
      <c r="H19" s="2" t="s">
        <v>233</v>
      </c>
      <c r="I19" s="2"/>
      <c r="K19" t="s">
        <v>41</v>
      </c>
      <c r="N19" s="154">
        <f>INT(N18/2)</f>
        <v>1</v>
      </c>
      <c r="O19" s="156">
        <f>N19-2*N20</f>
        <v>1</v>
      </c>
      <c r="P19" s="154">
        <f>INT(P18/2)</f>
        <v>7</v>
      </c>
      <c r="Q19" s="157">
        <f>P19-2*P20</f>
        <v>1</v>
      </c>
      <c r="R19" s="154">
        <f>INT(R18/2)</f>
        <v>7</v>
      </c>
      <c r="S19" s="160">
        <f>R19-2*R20</f>
        <v>1</v>
      </c>
      <c r="T19" s="154">
        <f>INT(T18/2)</f>
        <v>7</v>
      </c>
      <c r="U19" s="164">
        <f>T19-2*T20</f>
        <v>1</v>
      </c>
    </row>
    <row r="20" spans="1:21" ht="15.75">
      <c r="A20" s="2"/>
      <c r="B20" s="2"/>
      <c r="C20" s="2"/>
      <c r="D20" s="2"/>
      <c r="E20" s="2"/>
      <c r="F20" s="186">
        <v>2</v>
      </c>
      <c r="G20" s="2" t="s">
        <v>20</v>
      </c>
      <c r="H20" s="2" t="s">
        <v>234</v>
      </c>
      <c r="I20" s="2"/>
      <c r="K20" t="s">
        <v>44</v>
      </c>
      <c r="N20" s="154">
        <f>INT(N19/2)</f>
        <v>0</v>
      </c>
      <c r="O20" s="156">
        <f>N20-2*N21</f>
        <v>0</v>
      </c>
      <c r="P20" s="154">
        <f>INT(P19/2)</f>
        <v>3</v>
      </c>
      <c r="Q20" s="157">
        <f>P20-2*P21</f>
        <v>1</v>
      </c>
      <c r="R20" s="154">
        <f>INT(R19/2)</f>
        <v>3</v>
      </c>
      <c r="S20" s="160">
        <f>R20-2*R21</f>
        <v>1</v>
      </c>
      <c r="T20" s="154">
        <f>INT(T19/2)</f>
        <v>3</v>
      </c>
      <c r="U20" s="164">
        <f>T20-2*T21</f>
        <v>1</v>
      </c>
    </row>
    <row r="21" spans="1:21" ht="15.75">
      <c r="A21" s="33"/>
      <c r="B21" s="2"/>
      <c r="C21" s="3"/>
      <c r="D21" s="2"/>
      <c r="E21" s="2"/>
      <c r="F21" s="186">
        <v>3</v>
      </c>
      <c r="G21" s="2" t="s">
        <v>235</v>
      </c>
      <c r="H21" s="2" t="s">
        <v>236</v>
      </c>
      <c r="K21" t="s">
        <v>48</v>
      </c>
      <c r="N21" s="154">
        <f>INT(N20/2)</f>
        <v>0</v>
      </c>
      <c r="O21" s="156">
        <f>N21-2*N22</f>
        <v>0</v>
      </c>
      <c r="P21" s="154">
        <f>INT(P20/2)</f>
        <v>1</v>
      </c>
      <c r="Q21" s="157">
        <f>P21-2*P22</f>
        <v>1</v>
      </c>
      <c r="R21" s="154">
        <f>INT(R20/2)</f>
        <v>1</v>
      </c>
      <c r="S21" s="160">
        <f>R21-2*R22</f>
        <v>1</v>
      </c>
      <c r="T21" s="154">
        <f>INT(T20/2)</f>
        <v>1</v>
      </c>
      <c r="U21" s="164">
        <f>T21-2*T22</f>
        <v>1</v>
      </c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27" ht="13.5" thickBot="1">
      <c r="A23" s="2"/>
      <c r="B23" s="2"/>
      <c r="C23" s="2"/>
      <c r="D23" s="2"/>
      <c r="E23" s="2"/>
      <c r="F23" s="2"/>
      <c r="G23" s="2"/>
      <c r="H23" s="2"/>
      <c r="I23" s="2"/>
      <c r="AA23" s="2"/>
    </row>
    <row r="24" spans="1:27" ht="18.75" thickBot="1">
      <c r="A24" s="2"/>
      <c r="B24" s="2"/>
      <c r="C24" s="2"/>
      <c r="D24" s="179" t="s">
        <v>203</v>
      </c>
      <c r="E24" s="184"/>
      <c r="F24" s="179" t="str">
        <f>G5</f>
        <v>3FF1</v>
      </c>
      <c r="G24" s="2"/>
      <c r="H24" s="2"/>
      <c r="I24" s="2"/>
      <c r="K24" s="167">
        <f>O21</f>
        <v>0</v>
      </c>
      <c r="L24" s="168">
        <f>O20</f>
        <v>0</v>
      </c>
      <c r="M24" s="168">
        <f>O19</f>
        <v>1</v>
      </c>
      <c r="N24" s="168">
        <f>O18</f>
        <v>1</v>
      </c>
      <c r="O24" s="170">
        <f>Q21</f>
        <v>1</v>
      </c>
      <c r="P24" s="168">
        <f>Q20</f>
        <v>1</v>
      </c>
      <c r="Q24" s="168">
        <f>Q19</f>
        <v>1</v>
      </c>
      <c r="R24" s="168">
        <f>Q18</f>
        <v>1</v>
      </c>
      <c r="S24" s="170">
        <f>S21</f>
        <v>1</v>
      </c>
      <c r="T24" s="168">
        <f>S20</f>
        <v>1</v>
      </c>
      <c r="U24" s="168">
        <f>S19</f>
        <v>1</v>
      </c>
      <c r="V24" s="168">
        <f>S18</f>
        <v>1</v>
      </c>
      <c r="W24" s="170">
        <f>U21</f>
        <v>1</v>
      </c>
      <c r="X24" s="168">
        <f>U20</f>
        <v>1</v>
      </c>
      <c r="Y24" s="168">
        <f>U19</f>
        <v>1</v>
      </c>
      <c r="Z24" s="169">
        <f>U18</f>
        <v>1</v>
      </c>
      <c r="AA24" s="177">
        <v>1</v>
      </c>
    </row>
    <row r="25" spans="1:27" ht="13.5" thickBot="1">
      <c r="A25" s="2"/>
      <c r="B25" s="2"/>
      <c r="C25" s="2"/>
      <c r="D25" s="2"/>
      <c r="E25" s="2"/>
      <c r="F25" s="2"/>
      <c r="G25" s="2"/>
      <c r="H25" s="2"/>
      <c r="I25" s="2"/>
      <c r="K25" s="167">
        <f>O41</f>
        <v>0</v>
      </c>
      <c r="L25" s="168">
        <f>O40</f>
        <v>0</v>
      </c>
      <c r="M25" s="168">
        <f>O39</f>
        <v>1</v>
      </c>
      <c r="N25" s="168">
        <f>O38</f>
        <v>1</v>
      </c>
      <c r="O25" s="170">
        <f>Q41</f>
        <v>1</v>
      </c>
      <c r="P25" s="168">
        <f>Q40</f>
        <v>1</v>
      </c>
      <c r="Q25" s="168">
        <f>Q39</f>
        <v>1</v>
      </c>
      <c r="R25" s="168">
        <f>Q38</f>
        <v>1</v>
      </c>
      <c r="S25" s="170">
        <f>S41</f>
        <v>1</v>
      </c>
      <c r="T25" s="168">
        <f>S40</f>
        <v>1</v>
      </c>
      <c r="U25" s="168">
        <f>S39</f>
        <v>1</v>
      </c>
      <c r="V25" s="168">
        <f>S38</f>
        <v>1</v>
      </c>
      <c r="W25" s="170">
        <f>U41</f>
        <v>0</v>
      </c>
      <c r="X25" s="168">
        <f>U40</f>
        <v>1</v>
      </c>
      <c r="Y25" s="168">
        <f>U39</f>
        <v>1</v>
      </c>
      <c r="Z25" s="169">
        <f>U38</f>
        <v>1</v>
      </c>
      <c r="AA25" s="177">
        <v>2</v>
      </c>
    </row>
    <row r="26" spans="11:27" ht="13.5" thickBot="1">
      <c r="K26" s="167">
        <f>O54</f>
        <v>0</v>
      </c>
      <c r="L26" s="168">
        <f>O53</f>
        <v>0</v>
      </c>
      <c r="M26" s="168">
        <f>O52</f>
        <v>1</v>
      </c>
      <c r="N26" s="168">
        <f>O51</f>
        <v>1</v>
      </c>
      <c r="O26" s="170">
        <f>Q54</f>
        <v>1</v>
      </c>
      <c r="P26" s="168">
        <f>Q53</f>
        <v>1</v>
      </c>
      <c r="Q26" s="168">
        <f>Q52</f>
        <v>1</v>
      </c>
      <c r="R26" s="168">
        <f>Q51</f>
        <v>1</v>
      </c>
      <c r="S26" s="170">
        <f>S54</f>
        <v>1</v>
      </c>
      <c r="T26" s="168">
        <f>S53</f>
        <v>1</v>
      </c>
      <c r="U26" s="168">
        <f>S52</f>
        <v>1</v>
      </c>
      <c r="V26" s="168">
        <f>S51</f>
        <v>1</v>
      </c>
      <c r="W26" s="170">
        <f>U54</f>
        <v>1</v>
      </c>
      <c r="X26" s="168">
        <f>U53</f>
        <v>0</v>
      </c>
      <c r="Y26" s="168">
        <f>U52</f>
        <v>1</v>
      </c>
      <c r="Z26" s="169">
        <f>U51</f>
        <v>1</v>
      </c>
      <c r="AA26" s="177">
        <v>3</v>
      </c>
    </row>
    <row r="27" spans="11:27" ht="12.75">
      <c r="K27" s="172">
        <f>O67</f>
        <v>0</v>
      </c>
      <c r="L27" s="173">
        <f>O66</f>
        <v>0</v>
      </c>
      <c r="M27" s="173">
        <f>O65</f>
        <v>1</v>
      </c>
      <c r="N27" s="173">
        <f>O64</f>
        <v>1</v>
      </c>
      <c r="O27" s="174">
        <f>Q67</f>
        <v>1</v>
      </c>
      <c r="P27" s="173">
        <f>Q66</f>
        <v>1</v>
      </c>
      <c r="Q27" s="173">
        <f>Q65</f>
        <v>1</v>
      </c>
      <c r="R27" s="173">
        <f>Q64</f>
        <v>1</v>
      </c>
      <c r="S27" s="174">
        <f>S67</f>
        <v>1</v>
      </c>
      <c r="T27" s="173">
        <f>S66</f>
        <v>1</v>
      </c>
      <c r="U27" s="173">
        <f>S65</f>
        <v>1</v>
      </c>
      <c r="V27" s="173">
        <f>S64</f>
        <v>1</v>
      </c>
      <c r="W27" s="174">
        <f>U67</f>
        <v>1</v>
      </c>
      <c r="X27" s="173">
        <f>U66</f>
        <v>1</v>
      </c>
      <c r="Y27" s="173">
        <f>U65</f>
        <v>0</v>
      </c>
      <c r="Z27" s="175">
        <f>U64</f>
        <v>1</v>
      </c>
      <c r="AA27" s="177">
        <v>4</v>
      </c>
    </row>
    <row r="28" spans="11:27" ht="12.75">
      <c r="K28" s="176">
        <f>K24*K25*K26*K27</f>
        <v>0</v>
      </c>
      <c r="L28" s="176">
        <f aca="true" t="shared" si="2" ref="L28:Z28">L24*L25*L26*L27</f>
        <v>0</v>
      </c>
      <c r="M28" s="176">
        <f t="shared" si="2"/>
        <v>1</v>
      </c>
      <c r="N28" s="176">
        <f t="shared" si="2"/>
        <v>1</v>
      </c>
      <c r="O28" s="176">
        <f t="shared" si="2"/>
        <v>1</v>
      </c>
      <c r="P28" s="176">
        <f t="shared" si="2"/>
        <v>1</v>
      </c>
      <c r="Q28" s="176">
        <f t="shared" si="2"/>
        <v>1</v>
      </c>
      <c r="R28" s="176">
        <f t="shared" si="2"/>
        <v>1</v>
      </c>
      <c r="S28" s="176">
        <f t="shared" si="2"/>
        <v>1</v>
      </c>
      <c r="T28" s="176">
        <f t="shared" si="2"/>
        <v>1</v>
      </c>
      <c r="U28" s="176">
        <f t="shared" si="2"/>
        <v>1</v>
      </c>
      <c r="V28" s="176">
        <f t="shared" si="2"/>
        <v>1</v>
      </c>
      <c r="W28" s="176">
        <f t="shared" si="2"/>
        <v>0</v>
      </c>
      <c r="X28" s="176">
        <f t="shared" si="2"/>
        <v>0</v>
      </c>
      <c r="Y28" s="176">
        <f t="shared" si="2"/>
        <v>0</v>
      </c>
      <c r="Z28" s="176">
        <f t="shared" si="2"/>
        <v>1</v>
      </c>
      <c r="AA28" s="177" t="s">
        <v>237</v>
      </c>
    </row>
    <row r="29" spans="11:26" ht="12.75">
      <c r="K29">
        <v>8</v>
      </c>
      <c r="L29">
        <v>4</v>
      </c>
      <c r="M29">
        <v>2</v>
      </c>
      <c r="N29">
        <v>1</v>
      </c>
      <c r="O29">
        <v>8</v>
      </c>
      <c r="P29">
        <v>4</v>
      </c>
      <c r="Q29">
        <v>2</v>
      </c>
      <c r="R29">
        <v>1</v>
      </c>
      <c r="S29">
        <v>8</v>
      </c>
      <c r="T29">
        <v>4</v>
      </c>
      <c r="U29">
        <v>2</v>
      </c>
      <c r="V29">
        <v>1</v>
      </c>
      <c r="W29">
        <v>8</v>
      </c>
      <c r="X29">
        <v>4</v>
      </c>
      <c r="Y29">
        <v>2</v>
      </c>
      <c r="Z29">
        <v>1</v>
      </c>
    </row>
    <row r="30" spans="11:26" ht="12.75">
      <c r="K30">
        <f>IF(K28=1,K29,0)</f>
        <v>0</v>
      </c>
      <c r="L30">
        <f aca="true" t="shared" si="3" ref="L30:Z30">IF(L28=1,L29,0)</f>
        <v>0</v>
      </c>
      <c r="M30">
        <f t="shared" si="3"/>
        <v>2</v>
      </c>
      <c r="N30">
        <f t="shared" si="3"/>
        <v>1</v>
      </c>
      <c r="O30">
        <f t="shared" si="3"/>
        <v>8</v>
      </c>
      <c r="P30">
        <f t="shared" si="3"/>
        <v>4</v>
      </c>
      <c r="Q30">
        <f t="shared" si="3"/>
        <v>2</v>
      </c>
      <c r="R30">
        <f t="shared" si="3"/>
        <v>1</v>
      </c>
      <c r="S30">
        <f t="shared" si="3"/>
        <v>8</v>
      </c>
      <c r="T30">
        <f t="shared" si="3"/>
        <v>4</v>
      </c>
      <c r="U30">
        <f t="shared" si="3"/>
        <v>2</v>
      </c>
      <c r="V30">
        <f t="shared" si="3"/>
        <v>1</v>
      </c>
      <c r="W30">
        <f t="shared" si="3"/>
        <v>0</v>
      </c>
      <c r="X30">
        <f t="shared" si="3"/>
        <v>0</v>
      </c>
      <c r="Y30">
        <f t="shared" si="3"/>
        <v>0</v>
      </c>
      <c r="Z30">
        <f t="shared" si="3"/>
        <v>1</v>
      </c>
    </row>
    <row r="31" spans="14:26" ht="12.75">
      <c r="N31">
        <f>SUM(K30:N30)</f>
        <v>3</v>
      </c>
      <c r="R31">
        <f>SUM(O30:R30)</f>
        <v>15</v>
      </c>
      <c r="V31">
        <f>SUM(S30:V30)</f>
        <v>15</v>
      </c>
      <c r="Z31">
        <f>SUM(W30:Z30)</f>
        <v>1</v>
      </c>
    </row>
    <row r="33" spans="11:27" ht="12.75">
      <c r="K33" s="171" t="str">
        <f>K14</f>
        <v>3</v>
      </c>
      <c r="L33" s="146" t="str">
        <f>L14</f>
        <v>F</v>
      </c>
      <c r="M33" s="146" t="str">
        <f>M14</f>
        <v>F</v>
      </c>
      <c r="N33" s="147" t="str">
        <f>N14</f>
        <v>7</v>
      </c>
      <c r="O33" s="155" t="str">
        <f aca="true" t="shared" si="4" ref="O33:R36">IF(K33="A",10,IF(K33="B",11,IF(K33="C",12,IF(K33="D",13,IF(K33="E",14,IF(K33="F",15,K33))))))</f>
        <v>3</v>
      </c>
      <c r="P33" s="158">
        <f t="shared" si="4"/>
        <v>15</v>
      </c>
      <c r="Q33" s="159">
        <f t="shared" si="4"/>
        <v>15</v>
      </c>
      <c r="R33" s="162" t="str">
        <f t="shared" si="4"/>
        <v>7</v>
      </c>
      <c r="S33" s="177">
        <v>2</v>
      </c>
      <c r="W33" s="144">
        <f>Z31</f>
        <v>1</v>
      </c>
      <c r="X33" s="2">
        <f>W33/16</f>
        <v>0.0625</v>
      </c>
      <c r="Y33" s="2">
        <f>W33-INT(X33)*16</f>
        <v>1</v>
      </c>
      <c r="Z33" s="19">
        <f>IF(Y33=10,"A",IF(Y33=11,"B",IF(Y33=12,"C",IF(Y33=13,"D",IF(Y33=14,"E",IF(Y33=15,"F",Y33))))))</f>
        <v>1</v>
      </c>
      <c r="AA33" s="95">
        <f>Z33</f>
        <v>1</v>
      </c>
    </row>
    <row r="34" spans="11:27" ht="12.75">
      <c r="K34" s="49">
        <f>LEFT(H27,1)</f>
      </c>
      <c r="L34" s="19">
        <f aca="true" t="shared" si="5" ref="L34:N36">RIGHT(L19,1)</f>
      </c>
      <c r="M34" s="19">
        <f t="shared" si="5"/>
      </c>
      <c r="N34" s="148" t="str">
        <f t="shared" si="5"/>
        <v>1</v>
      </c>
      <c r="O34" s="152">
        <f t="shared" si="4"/>
      </c>
      <c r="P34" s="19">
        <f t="shared" si="4"/>
      </c>
      <c r="Q34" s="19">
        <f t="shared" si="4"/>
      </c>
      <c r="R34" s="148" t="str">
        <f t="shared" si="4"/>
        <v>1</v>
      </c>
      <c r="W34" s="144">
        <f>V31</f>
        <v>15</v>
      </c>
      <c r="X34" s="2">
        <f>W34/16</f>
        <v>0.9375</v>
      </c>
      <c r="Y34" s="2">
        <f>W34-INT(X34)*16</f>
        <v>15</v>
      </c>
      <c r="Z34" s="19" t="str">
        <f>IF(Y34=10,"A",IF(Y34=11,"B",IF(Y34=12,"C",IF(Y34=13,"D",IF(Y34=14,"E",IF(Y34=15,"F",Y34))))))</f>
        <v>F</v>
      </c>
      <c r="AA34" s="95" t="str">
        <f>Z34</f>
        <v>F</v>
      </c>
    </row>
    <row r="35" spans="11:27" ht="12.75">
      <c r="K35" s="49">
        <f>LEFT(H28,1)</f>
      </c>
      <c r="L35" s="19">
        <f t="shared" si="5"/>
      </c>
      <c r="M35" s="19">
        <f t="shared" si="5"/>
      </c>
      <c r="N35" s="148" t="str">
        <f t="shared" si="5"/>
        <v>0</v>
      </c>
      <c r="O35" s="152">
        <f t="shared" si="4"/>
      </c>
      <c r="P35" s="19">
        <f t="shared" si="4"/>
      </c>
      <c r="Q35" s="19">
        <f t="shared" si="4"/>
      </c>
      <c r="R35" s="148" t="str">
        <f t="shared" si="4"/>
        <v>0</v>
      </c>
      <c r="W35" s="144">
        <f>R31</f>
        <v>15</v>
      </c>
      <c r="X35" s="2">
        <f>W35/16</f>
        <v>0.9375</v>
      </c>
      <c r="Y35" s="2">
        <f>W35-INT(X35)*16</f>
        <v>15</v>
      </c>
      <c r="Z35" s="19" t="str">
        <f>IF(Y35=10,"A",IF(Y35=11,"B",IF(Y35=12,"C",IF(Y35=13,"D",IF(Y35=14,"E",IF(Y35=15,"F",Y35))))))</f>
        <v>F</v>
      </c>
      <c r="AA35" s="95" t="str">
        <f>Z35</f>
        <v>F</v>
      </c>
    </row>
    <row r="36" spans="11:27" ht="12.75">
      <c r="K36" s="149">
        <f>LEFT(H29,1)</f>
      </c>
      <c r="L36" s="150">
        <f t="shared" si="5"/>
      </c>
      <c r="M36" s="150">
        <f t="shared" si="5"/>
      </c>
      <c r="N36" s="151" t="str">
        <f t="shared" si="5"/>
        <v>0</v>
      </c>
      <c r="O36" s="153">
        <f t="shared" si="4"/>
      </c>
      <c r="P36" s="150">
        <f t="shared" si="4"/>
      </c>
      <c r="Q36" s="150">
        <f t="shared" si="4"/>
      </c>
      <c r="R36" s="151" t="str">
        <f t="shared" si="4"/>
        <v>0</v>
      </c>
      <c r="W36" s="144">
        <f>N31</f>
        <v>3</v>
      </c>
      <c r="X36" s="2">
        <f>W36/16</f>
        <v>0.1875</v>
      </c>
      <c r="Y36" s="2">
        <f>W36-INT(X36)*16</f>
        <v>3</v>
      </c>
      <c r="Z36" s="19">
        <f>IF(Y36=10,"A",IF(Y36=11,"B",IF(Y36=12,"C",IF(Y36=13,"D",IF(Y36=14,"E",IF(Y36=15,"F",Y36))))))</f>
        <v>3</v>
      </c>
      <c r="AA36" s="95">
        <f>Z36</f>
        <v>3</v>
      </c>
    </row>
    <row r="38" spans="11:21" ht="12.75">
      <c r="K38" t="s">
        <v>39</v>
      </c>
      <c r="N38" s="161" t="str">
        <f>O33</f>
        <v>3</v>
      </c>
      <c r="O38" s="156">
        <f>N38-2*N39</f>
        <v>1</v>
      </c>
      <c r="P38" s="166">
        <f>P33</f>
        <v>15</v>
      </c>
      <c r="Q38" s="157">
        <f>P38-2*P39</f>
        <v>1</v>
      </c>
      <c r="R38" s="165">
        <f>Q33</f>
        <v>15</v>
      </c>
      <c r="S38" s="160">
        <f>R38-2*R39</f>
        <v>1</v>
      </c>
      <c r="T38" s="163" t="str">
        <f>R33</f>
        <v>7</v>
      </c>
      <c r="U38" s="164">
        <f>T38-2*T39</f>
        <v>1</v>
      </c>
    </row>
    <row r="39" spans="11:21" ht="12.75">
      <c r="K39" t="s">
        <v>41</v>
      </c>
      <c r="N39" s="154">
        <f>INT(N38/2)</f>
        <v>1</v>
      </c>
      <c r="O39" s="156">
        <f>N39-2*N40</f>
        <v>1</v>
      </c>
      <c r="P39" s="154">
        <f>INT(P38/2)</f>
        <v>7</v>
      </c>
      <c r="Q39" s="157">
        <f>P39-2*P40</f>
        <v>1</v>
      </c>
      <c r="R39" s="154">
        <f>INT(R38/2)</f>
        <v>7</v>
      </c>
      <c r="S39" s="160">
        <f>R39-2*R40</f>
        <v>1</v>
      </c>
      <c r="T39" s="154">
        <f>INT(T38/2)</f>
        <v>3</v>
      </c>
      <c r="U39" s="164">
        <f>T39-2*T40</f>
        <v>1</v>
      </c>
    </row>
    <row r="40" spans="11:21" ht="12.75">
      <c r="K40" t="s">
        <v>44</v>
      </c>
      <c r="N40" s="154">
        <f>INT(N39/2)</f>
        <v>0</v>
      </c>
      <c r="O40" s="156">
        <f>N40-2*N41</f>
        <v>0</v>
      </c>
      <c r="P40" s="154">
        <f>INT(P39/2)</f>
        <v>3</v>
      </c>
      <c r="Q40" s="157">
        <f>P40-2*P41</f>
        <v>1</v>
      </c>
      <c r="R40" s="154">
        <f>INT(R39/2)</f>
        <v>3</v>
      </c>
      <c r="S40" s="160">
        <f>R40-2*R41</f>
        <v>1</v>
      </c>
      <c r="T40" s="154">
        <f>INT(T39/2)</f>
        <v>1</v>
      </c>
      <c r="U40" s="164">
        <f>T40-2*T41</f>
        <v>1</v>
      </c>
    </row>
    <row r="41" spans="11:21" ht="12.75">
      <c r="K41" t="s">
        <v>48</v>
      </c>
      <c r="N41" s="154">
        <f>INT(N40/2)</f>
        <v>0</v>
      </c>
      <c r="O41" s="156">
        <f>N41-2*N42</f>
        <v>0</v>
      </c>
      <c r="P41" s="154">
        <f>INT(P40/2)</f>
        <v>1</v>
      </c>
      <c r="Q41" s="157">
        <f>P41-2*P42</f>
        <v>1</v>
      </c>
      <c r="R41" s="154">
        <f>INT(R40/2)</f>
        <v>1</v>
      </c>
      <c r="S41" s="160">
        <f>R41-2*R42</f>
        <v>1</v>
      </c>
      <c r="T41" s="154">
        <f>INT(T40/2)</f>
        <v>0</v>
      </c>
      <c r="U41" s="164">
        <f>T41-2*T42</f>
        <v>0</v>
      </c>
    </row>
    <row r="46" spans="11:19" ht="12.75">
      <c r="K46" s="171" t="str">
        <f>K15</f>
        <v>3</v>
      </c>
      <c r="L46" s="146" t="str">
        <f>L15</f>
        <v>F</v>
      </c>
      <c r="M46" s="146" t="str">
        <f>M15</f>
        <v>F</v>
      </c>
      <c r="N46" s="147" t="str">
        <f>N15</f>
        <v>B</v>
      </c>
      <c r="O46" s="155" t="str">
        <f aca="true" t="shared" si="6" ref="O46:R49">IF(K46="A",10,IF(K46="B",11,IF(K46="C",12,IF(K46="D",13,IF(K46="E",14,IF(K46="F",15,K46))))))</f>
        <v>3</v>
      </c>
      <c r="P46" s="158">
        <f t="shared" si="6"/>
        <v>15</v>
      </c>
      <c r="Q46" s="159">
        <f t="shared" si="6"/>
        <v>15</v>
      </c>
      <c r="R46" s="162">
        <f t="shared" si="6"/>
        <v>11</v>
      </c>
      <c r="S46" s="177">
        <v>3</v>
      </c>
    </row>
    <row r="47" spans="11:18" ht="12.75">
      <c r="K47" s="49">
        <f>LEFT(H40,1)</f>
      </c>
      <c r="L47" s="19">
        <f aca="true" t="shared" si="7" ref="L47:N49">RIGHT(L39,1)</f>
      </c>
      <c r="M47" s="19">
        <f t="shared" si="7"/>
      </c>
      <c r="N47" s="148" t="str">
        <f t="shared" si="7"/>
        <v>1</v>
      </c>
      <c r="O47" s="152">
        <f t="shared" si="6"/>
      </c>
      <c r="P47" s="19">
        <f t="shared" si="6"/>
      </c>
      <c r="Q47" s="19">
        <f t="shared" si="6"/>
      </c>
      <c r="R47" s="148" t="str">
        <f t="shared" si="6"/>
        <v>1</v>
      </c>
    </row>
    <row r="48" spans="11:18" ht="12.75">
      <c r="K48" s="49">
        <f>LEFT(H41,1)</f>
      </c>
      <c r="L48" s="19">
        <f t="shared" si="7"/>
      </c>
      <c r="M48" s="19">
        <f t="shared" si="7"/>
      </c>
      <c r="N48" s="148" t="str">
        <f t="shared" si="7"/>
        <v>0</v>
      </c>
      <c r="O48" s="152">
        <f t="shared" si="6"/>
      </c>
      <c r="P48" s="19">
        <f t="shared" si="6"/>
      </c>
      <c r="Q48" s="19">
        <f t="shared" si="6"/>
      </c>
      <c r="R48" s="148" t="str">
        <f t="shared" si="6"/>
        <v>0</v>
      </c>
    </row>
    <row r="49" spans="11:18" ht="12.75">
      <c r="K49" s="149">
        <f>LEFT(H42,1)</f>
      </c>
      <c r="L49" s="150">
        <f t="shared" si="7"/>
      </c>
      <c r="M49" s="150">
        <f t="shared" si="7"/>
      </c>
      <c r="N49" s="151" t="str">
        <f t="shared" si="7"/>
        <v>0</v>
      </c>
      <c r="O49" s="153">
        <f t="shared" si="6"/>
      </c>
      <c r="P49" s="150">
        <f t="shared" si="6"/>
      </c>
      <c r="Q49" s="150">
        <f t="shared" si="6"/>
      </c>
      <c r="R49" s="151" t="str">
        <f t="shared" si="6"/>
        <v>0</v>
      </c>
    </row>
    <row r="51" spans="11:21" ht="12.75">
      <c r="K51" t="s">
        <v>39</v>
      </c>
      <c r="N51" s="161" t="str">
        <f>O46</f>
        <v>3</v>
      </c>
      <c r="O51" s="156">
        <f>N51-2*N52</f>
        <v>1</v>
      </c>
      <c r="P51" s="166">
        <f>P46</f>
        <v>15</v>
      </c>
      <c r="Q51" s="157">
        <f>P51-2*P52</f>
        <v>1</v>
      </c>
      <c r="R51" s="165">
        <f>Q46</f>
        <v>15</v>
      </c>
      <c r="S51" s="160">
        <f>R51-2*R52</f>
        <v>1</v>
      </c>
      <c r="T51" s="163">
        <f>R46</f>
        <v>11</v>
      </c>
      <c r="U51" s="164">
        <f>T51-2*T52</f>
        <v>1</v>
      </c>
    </row>
    <row r="52" spans="11:21" ht="12.75">
      <c r="K52" t="s">
        <v>41</v>
      </c>
      <c r="N52" s="154">
        <f>INT(N51/2)</f>
        <v>1</v>
      </c>
      <c r="O52" s="156">
        <f>N52-2*N53</f>
        <v>1</v>
      </c>
      <c r="P52" s="154">
        <f>INT(P51/2)</f>
        <v>7</v>
      </c>
      <c r="Q52" s="157">
        <f>P52-2*P53</f>
        <v>1</v>
      </c>
      <c r="R52" s="154">
        <f>INT(R51/2)</f>
        <v>7</v>
      </c>
      <c r="S52" s="160">
        <f>R52-2*R53</f>
        <v>1</v>
      </c>
      <c r="T52" s="154">
        <f>INT(T51/2)</f>
        <v>5</v>
      </c>
      <c r="U52" s="164">
        <f>T52-2*T53</f>
        <v>1</v>
      </c>
    </row>
    <row r="53" spans="11:21" ht="12.75">
      <c r="K53" t="s">
        <v>44</v>
      </c>
      <c r="N53" s="154">
        <f>INT(N52/2)</f>
        <v>0</v>
      </c>
      <c r="O53" s="156">
        <f>N53-2*N54</f>
        <v>0</v>
      </c>
      <c r="P53" s="154">
        <f>INT(P52/2)</f>
        <v>3</v>
      </c>
      <c r="Q53" s="157">
        <f>P53-2*P54</f>
        <v>1</v>
      </c>
      <c r="R53" s="154">
        <f>INT(R52/2)</f>
        <v>3</v>
      </c>
      <c r="S53" s="160">
        <f>R53-2*R54</f>
        <v>1</v>
      </c>
      <c r="T53" s="154">
        <f>INT(T52/2)</f>
        <v>2</v>
      </c>
      <c r="U53" s="164">
        <f>T53-2*T54</f>
        <v>0</v>
      </c>
    </row>
    <row r="54" spans="11:21" ht="12.75">
      <c r="K54" t="s">
        <v>48</v>
      </c>
      <c r="N54" s="154">
        <f>INT(N53/2)</f>
        <v>0</v>
      </c>
      <c r="O54" s="156">
        <f>N54-2*N55</f>
        <v>0</v>
      </c>
      <c r="P54" s="154">
        <f>INT(P53/2)</f>
        <v>1</v>
      </c>
      <c r="Q54" s="157">
        <f>P54-2*P55</f>
        <v>1</v>
      </c>
      <c r="R54" s="154">
        <f>INT(R53/2)</f>
        <v>1</v>
      </c>
      <c r="S54" s="160">
        <f>R54-2*R55</f>
        <v>1</v>
      </c>
      <c r="T54" s="154">
        <f>INT(T53/2)</f>
        <v>1</v>
      </c>
      <c r="U54" s="164">
        <f>T54-2*T55</f>
        <v>1</v>
      </c>
    </row>
    <row r="59" spans="11:19" ht="12.75">
      <c r="K59" s="171" t="str">
        <f>K16</f>
        <v>3</v>
      </c>
      <c r="L59" s="146" t="str">
        <f>L16</f>
        <v>F</v>
      </c>
      <c r="M59" s="146" t="str">
        <f>M16</f>
        <v>F</v>
      </c>
      <c r="N59" s="147" t="str">
        <f>N16</f>
        <v>D</v>
      </c>
      <c r="O59" s="155" t="str">
        <f aca="true" t="shared" si="8" ref="O59:R62">IF(K59="A",10,IF(K59="B",11,IF(K59="C",12,IF(K59="D",13,IF(K59="E",14,IF(K59="F",15,K59))))))</f>
        <v>3</v>
      </c>
      <c r="P59" s="158">
        <f t="shared" si="8"/>
        <v>15</v>
      </c>
      <c r="Q59" s="159">
        <f t="shared" si="8"/>
        <v>15</v>
      </c>
      <c r="R59" s="162">
        <f t="shared" si="8"/>
        <v>13</v>
      </c>
      <c r="S59" s="177">
        <v>4</v>
      </c>
    </row>
    <row r="60" spans="11:18" ht="12.75">
      <c r="K60" s="49">
        <f>LEFT(H53,1)</f>
      </c>
      <c r="L60" s="19">
        <f aca="true" t="shared" si="9" ref="L60:N62">RIGHT(L52,1)</f>
      </c>
      <c r="M60" s="19">
        <f t="shared" si="9"/>
      </c>
      <c r="N60" s="148" t="str">
        <f t="shared" si="9"/>
        <v>1</v>
      </c>
      <c r="O60" s="152">
        <f t="shared" si="8"/>
      </c>
      <c r="P60" s="19">
        <f t="shared" si="8"/>
      </c>
      <c r="Q60" s="19">
        <f t="shared" si="8"/>
      </c>
      <c r="R60" s="148" t="str">
        <f t="shared" si="8"/>
        <v>1</v>
      </c>
    </row>
    <row r="61" spans="11:18" ht="12.75">
      <c r="K61" s="49">
        <f>LEFT(H54,1)</f>
      </c>
      <c r="L61" s="19">
        <f t="shared" si="9"/>
      </c>
      <c r="M61" s="19">
        <f t="shared" si="9"/>
      </c>
      <c r="N61" s="148" t="str">
        <f t="shared" si="9"/>
        <v>0</v>
      </c>
      <c r="O61" s="152">
        <f t="shared" si="8"/>
      </c>
      <c r="P61" s="19">
        <f t="shared" si="8"/>
      </c>
      <c r="Q61" s="19">
        <f t="shared" si="8"/>
      </c>
      <c r="R61" s="148" t="str">
        <f t="shared" si="8"/>
        <v>0</v>
      </c>
    </row>
    <row r="62" spans="11:18" ht="12.75">
      <c r="K62" s="149">
        <f>LEFT(H55,1)</f>
      </c>
      <c r="L62" s="150">
        <f t="shared" si="9"/>
      </c>
      <c r="M62" s="150">
        <f t="shared" si="9"/>
      </c>
      <c r="N62" s="151" t="str">
        <f t="shared" si="9"/>
        <v>0</v>
      </c>
      <c r="O62" s="153">
        <f t="shared" si="8"/>
      </c>
      <c r="P62" s="150">
        <f t="shared" si="8"/>
      </c>
      <c r="Q62" s="150">
        <f t="shared" si="8"/>
      </c>
      <c r="R62" s="151" t="str">
        <f t="shared" si="8"/>
        <v>0</v>
      </c>
    </row>
    <row r="64" spans="11:21" ht="12.75">
      <c r="K64" t="s">
        <v>39</v>
      </c>
      <c r="N64" s="161" t="str">
        <f>O59</f>
        <v>3</v>
      </c>
      <c r="O64" s="156">
        <f>N64-2*N65</f>
        <v>1</v>
      </c>
      <c r="P64" s="166">
        <f>P59</f>
        <v>15</v>
      </c>
      <c r="Q64" s="157">
        <f>P64-2*P65</f>
        <v>1</v>
      </c>
      <c r="R64" s="165">
        <f>Q59</f>
        <v>15</v>
      </c>
      <c r="S64" s="160">
        <f>R64-2*R65</f>
        <v>1</v>
      </c>
      <c r="T64" s="163">
        <f>R59</f>
        <v>13</v>
      </c>
      <c r="U64" s="164">
        <f>T64-2*T65</f>
        <v>1</v>
      </c>
    </row>
    <row r="65" spans="11:21" ht="12.75">
      <c r="K65" t="s">
        <v>41</v>
      </c>
      <c r="N65" s="154">
        <f>INT(N64/2)</f>
        <v>1</v>
      </c>
      <c r="O65" s="156">
        <f>N65-2*N66</f>
        <v>1</v>
      </c>
      <c r="P65" s="154">
        <f>INT(P64/2)</f>
        <v>7</v>
      </c>
      <c r="Q65" s="157">
        <f>P65-2*P66</f>
        <v>1</v>
      </c>
      <c r="R65" s="154">
        <f>INT(R64/2)</f>
        <v>7</v>
      </c>
      <c r="S65" s="160">
        <f>R65-2*R66</f>
        <v>1</v>
      </c>
      <c r="T65" s="154">
        <f>INT(T64/2)</f>
        <v>6</v>
      </c>
      <c r="U65" s="164">
        <f>T65-2*T66</f>
        <v>0</v>
      </c>
    </row>
    <row r="66" spans="11:21" ht="12.75">
      <c r="K66" t="s">
        <v>44</v>
      </c>
      <c r="N66" s="154">
        <f>INT(N65/2)</f>
        <v>0</v>
      </c>
      <c r="O66" s="156">
        <f>N66-2*N67</f>
        <v>0</v>
      </c>
      <c r="P66" s="154">
        <f>INT(P65/2)</f>
        <v>3</v>
      </c>
      <c r="Q66" s="157">
        <f>P66-2*P67</f>
        <v>1</v>
      </c>
      <c r="R66" s="154">
        <f>INT(R65/2)</f>
        <v>3</v>
      </c>
      <c r="S66" s="160">
        <f>R66-2*R67</f>
        <v>1</v>
      </c>
      <c r="T66" s="154">
        <f>INT(T65/2)</f>
        <v>3</v>
      </c>
      <c r="U66" s="164">
        <f>T66-2*T67</f>
        <v>1</v>
      </c>
    </row>
    <row r="67" spans="11:21" ht="12.75">
      <c r="K67" t="s">
        <v>48</v>
      </c>
      <c r="N67" s="154">
        <f>INT(N66/2)</f>
        <v>0</v>
      </c>
      <c r="O67" s="156">
        <f>N67-2*N68</f>
        <v>0</v>
      </c>
      <c r="P67" s="154">
        <f>INT(P66/2)</f>
        <v>1</v>
      </c>
      <c r="Q67" s="157">
        <f>P67-2*P68</f>
        <v>1</v>
      </c>
      <c r="R67" s="154">
        <f>INT(R66/2)</f>
        <v>1</v>
      </c>
      <c r="S67" s="160">
        <f>R67-2*R68</f>
        <v>1</v>
      </c>
      <c r="T67" s="154">
        <f>INT(T66/2)</f>
        <v>1</v>
      </c>
      <c r="U67" s="164">
        <f>T67-2*T68</f>
        <v>1</v>
      </c>
    </row>
  </sheetData>
  <sheetProtection sheet="1" objects="1" scenarios="1"/>
  <conditionalFormatting sqref="D13">
    <cfRule type="cellIs" priority="1" dxfId="0" operator="equal" stopIfTrue="1">
      <formula>1</formula>
    </cfRule>
  </conditionalFormatting>
  <dataValidations count="1">
    <dataValidation type="custom" allowBlank="1" showInputMessage="1" showErrorMessage="1" sqref="H17">
      <formula1>"&gt;1"</formula1>
    </dataValidation>
  </dataValidation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20"/>
  <sheetViews>
    <sheetView workbookViewId="0" topLeftCell="A1">
      <selection activeCell="AN45" sqref="AN45"/>
    </sheetView>
  </sheetViews>
  <sheetFormatPr defaultColWidth="11.421875" defaultRowHeight="12.75"/>
  <cols>
    <col min="3" max="4" width="5.421875" style="0" customWidth="1"/>
    <col min="5" max="5" width="6.28125" style="0" customWidth="1"/>
    <col min="6" max="16" width="5.421875" style="0" customWidth="1"/>
    <col min="17" max="17" width="6.28125" style="0" customWidth="1"/>
    <col min="18" max="18" width="6.7109375" style="0" customWidth="1"/>
    <col min="19" max="19" width="5.421875" style="0" customWidth="1"/>
    <col min="20" max="24" width="11.421875" style="0" hidden="1" customWidth="1"/>
    <col min="25" max="25" width="0.2890625" style="0" hidden="1" customWidth="1"/>
    <col min="26" max="39" width="11.421875" style="0" hidden="1" customWidth="1"/>
  </cols>
  <sheetData>
    <row r="2" ht="12.75">
      <c r="H2" s="244" t="s">
        <v>313</v>
      </c>
    </row>
    <row r="3" spans="1:18" ht="18.75" thickBot="1">
      <c r="A3" s="179"/>
      <c r="B3" s="179"/>
      <c r="C3" t="s">
        <v>245</v>
      </c>
      <c r="D3" t="s">
        <v>312</v>
      </c>
      <c r="E3" t="s">
        <v>244</v>
      </c>
      <c r="F3" t="s">
        <v>243</v>
      </c>
      <c r="G3" t="s">
        <v>242</v>
      </c>
      <c r="H3" t="s">
        <v>200</v>
      </c>
      <c r="I3" t="s">
        <v>53</v>
      </c>
      <c r="J3" t="s">
        <v>29</v>
      </c>
      <c r="K3" t="s">
        <v>32</v>
      </c>
      <c r="L3" t="s">
        <v>35</v>
      </c>
      <c r="M3" t="s">
        <v>39</v>
      </c>
      <c r="N3" t="s">
        <v>41</v>
      </c>
      <c r="O3" t="s">
        <v>44</v>
      </c>
      <c r="P3" t="s">
        <v>48</v>
      </c>
      <c r="R3" t="s">
        <v>311</v>
      </c>
    </row>
    <row r="4" spans="3:18" ht="16.5" thickBot="1">
      <c r="C4" s="249">
        <v>1</v>
      </c>
      <c r="D4" s="250">
        <v>1</v>
      </c>
      <c r="E4" s="250">
        <v>1</v>
      </c>
      <c r="F4" s="250">
        <v>1</v>
      </c>
      <c r="G4" s="250">
        <v>1</v>
      </c>
      <c r="H4" s="250">
        <v>1</v>
      </c>
      <c r="I4" s="250">
        <v>0</v>
      </c>
      <c r="J4" s="250">
        <v>0</v>
      </c>
      <c r="K4" s="250">
        <v>1</v>
      </c>
      <c r="L4" s="250">
        <v>1</v>
      </c>
      <c r="M4" s="250">
        <v>0</v>
      </c>
      <c r="N4" s="250">
        <v>0</v>
      </c>
      <c r="O4" s="250">
        <v>0</v>
      </c>
      <c r="P4" s="251">
        <v>1</v>
      </c>
      <c r="R4" s="216" t="str">
        <f>X17&amp;X13&amp;X9&amp;X5</f>
        <v>3F31</v>
      </c>
    </row>
    <row r="5" spans="20:29" ht="12.75">
      <c r="T5" s="197">
        <f>SUM(AJ12:AM12)</f>
        <v>1</v>
      </c>
      <c r="U5" s="198">
        <f>T5/16</f>
        <v>0.0625</v>
      </c>
      <c r="V5" s="198">
        <f>INT(U5)</f>
        <v>0</v>
      </c>
      <c r="W5" s="198">
        <f aca="true" t="shared" si="0" ref="W5:W20">T5-(16*V5)</f>
        <v>1</v>
      </c>
      <c r="X5" s="183">
        <f>IF(W5=10,"A",IF(W5=11,"B",IF(W5=12,"C",IF(W5=13,"D",IF(W5=14,"E",IF(W5=15,"F",W5))))))</f>
        <v>1</v>
      </c>
      <c r="Z5">
        <v>0</v>
      </c>
      <c r="AA5">
        <v>0</v>
      </c>
      <c r="AB5">
        <v>0</v>
      </c>
      <c r="AC5">
        <v>0</v>
      </c>
    </row>
    <row r="6" spans="20:29" ht="12.75">
      <c r="T6" s="198">
        <f>V5</f>
        <v>0</v>
      </c>
      <c r="U6" s="198">
        <f aca="true" t="shared" si="1" ref="U6:U20">T6/16</f>
        <v>0</v>
      </c>
      <c r="V6" s="198">
        <f aca="true" t="shared" si="2" ref="V6:V20">INT(U6)</f>
        <v>0</v>
      </c>
      <c r="W6" s="198">
        <f t="shared" si="0"/>
        <v>0</v>
      </c>
      <c r="X6" s="183">
        <f aca="true" t="shared" si="3" ref="X6:X20">IF(W6=10,"A",IF(W6=11,"B",IF(W6=12,"C",IF(W6=13,"D",IF(W6=14,"E",IF(W6=15,"F",W6))))))</f>
        <v>0</v>
      </c>
      <c r="Z6">
        <v>0</v>
      </c>
      <c r="AA6">
        <v>1</v>
      </c>
      <c r="AB6">
        <v>0</v>
      </c>
      <c r="AC6">
        <v>1</v>
      </c>
    </row>
    <row r="7" spans="20:29" ht="12.75">
      <c r="T7" s="198">
        <f>V6</f>
        <v>0</v>
      </c>
      <c r="U7" s="198">
        <f t="shared" si="1"/>
        <v>0</v>
      </c>
      <c r="V7" s="198">
        <f t="shared" si="2"/>
        <v>0</v>
      </c>
      <c r="W7" s="198">
        <f t="shared" si="0"/>
        <v>0</v>
      </c>
      <c r="X7" s="183">
        <f t="shared" si="3"/>
        <v>0</v>
      </c>
      <c r="Z7">
        <v>1</v>
      </c>
      <c r="AA7">
        <v>0</v>
      </c>
      <c r="AB7">
        <v>1</v>
      </c>
      <c r="AC7">
        <v>0</v>
      </c>
    </row>
    <row r="8" spans="20:29" ht="12.75">
      <c r="T8" s="198">
        <f>V7</f>
        <v>0</v>
      </c>
      <c r="U8" s="198">
        <f t="shared" si="1"/>
        <v>0</v>
      </c>
      <c r="V8" s="198">
        <f t="shared" si="2"/>
        <v>0</v>
      </c>
      <c r="W8" s="198">
        <f t="shared" si="0"/>
        <v>0</v>
      </c>
      <c r="X8" s="183">
        <f t="shared" si="3"/>
        <v>0</v>
      </c>
      <c r="Z8">
        <v>1</v>
      </c>
      <c r="AA8">
        <v>1</v>
      </c>
      <c r="AB8">
        <v>1</v>
      </c>
      <c r="AC8">
        <v>1</v>
      </c>
    </row>
    <row r="9" spans="20:39" ht="12.75">
      <c r="T9" s="203">
        <f>SUM(AF12:AI12)</f>
        <v>3</v>
      </c>
      <c r="U9" s="204">
        <f>T9/16</f>
        <v>0.1875</v>
      </c>
      <c r="V9" s="204">
        <f>INT(U9)</f>
        <v>0</v>
      </c>
      <c r="W9" s="204">
        <f t="shared" si="0"/>
        <v>3</v>
      </c>
      <c r="X9" s="183">
        <f t="shared" si="3"/>
        <v>3</v>
      </c>
      <c r="Z9" s="193" t="s">
        <v>245</v>
      </c>
      <c r="AA9" s="193" t="s">
        <v>259</v>
      </c>
      <c r="AB9" s="193" t="s">
        <v>244</v>
      </c>
      <c r="AC9" s="193" t="s">
        <v>243</v>
      </c>
      <c r="AD9" s="215" t="s">
        <v>242</v>
      </c>
      <c r="AE9" s="192" t="s">
        <v>200</v>
      </c>
      <c r="AF9" t="s">
        <v>53</v>
      </c>
      <c r="AG9" t="s">
        <v>29</v>
      </c>
      <c r="AH9" t="s">
        <v>32</v>
      </c>
      <c r="AI9" t="s">
        <v>35</v>
      </c>
      <c r="AJ9" t="s">
        <v>39</v>
      </c>
      <c r="AK9" t="s">
        <v>41</v>
      </c>
      <c r="AL9" t="s">
        <v>44</v>
      </c>
      <c r="AM9" t="s">
        <v>48</v>
      </c>
    </row>
    <row r="10" spans="20:39" ht="12.75">
      <c r="T10" s="204">
        <f>V9</f>
        <v>0</v>
      </c>
      <c r="U10" s="204">
        <f t="shared" si="1"/>
        <v>0</v>
      </c>
      <c r="V10" s="204">
        <f t="shared" si="2"/>
        <v>0</v>
      </c>
      <c r="W10" s="204">
        <f t="shared" si="0"/>
        <v>0</v>
      </c>
      <c r="X10" s="183">
        <f t="shared" si="3"/>
        <v>0</v>
      </c>
      <c r="Z10" s="194">
        <f>C4</f>
        <v>1</v>
      </c>
      <c r="AA10" s="194">
        <f aca="true" t="shared" si="4" ref="AA10:AM10">D4</f>
        <v>1</v>
      </c>
      <c r="AB10" s="194">
        <f t="shared" si="4"/>
        <v>1</v>
      </c>
      <c r="AC10" s="194">
        <f t="shared" si="4"/>
        <v>1</v>
      </c>
      <c r="AD10" s="194">
        <f t="shared" si="4"/>
        <v>1</v>
      </c>
      <c r="AE10" s="194">
        <f t="shared" si="4"/>
        <v>1</v>
      </c>
      <c r="AF10" s="194">
        <f t="shared" si="4"/>
        <v>0</v>
      </c>
      <c r="AG10" s="194">
        <f t="shared" si="4"/>
        <v>0</v>
      </c>
      <c r="AH10" s="194">
        <f t="shared" si="4"/>
        <v>1</v>
      </c>
      <c r="AI10" s="194">
        <f t="shared" si="4"/>
        <v>1</v>
      </c>
      <c r="AJ10" s="194">
        <f t="shared" si="4"/>
        <v>0</v>
      </c>
      <c r="AK10" s="194">
        <f t="shared" si="4"/>
        <v>0</v>
      </c>
      <c r="AL10" s="194">
        <f t="shared" si="4"/>
        <v>0</v>
      </c>
      <c r="AM10" s="194">
        <f t="shared" si="4"/>
        <v>1</v>
      </c>
    </row>
    <row r="11" spans="20:39" ht="12.75">
      <c r="T11" s="204">
        <f>V10</f>
        <v>0</v>
      </c>
      <c r="U11" s="204">
        <f t="shared" si="1"/>
        <v>0</v>
      </c>
      <c r="V11" s="204">
        <f t="shared" si="2"/>
        <v>0</v>
      </c>
      <c r="W11" s="204">
        <f t="shared" si="0"/>
        <v>0</v>
      </c>
      <c r="X11" s="183">
        <f t="shared" si="3"/>
        <v>0</v>
      </c>
      <c r="Z11">
        <v>2</v>
      </c>
      <c r="AA11">
        <v>1</v>
      </c>
      <c r="AB11">
        <v>8</v>
      </c>
      <c r="AC11">
        <v>4</v>
      </c>
      <c r="AD11">
        <v>2</v>
      </c>
      <c r="AE11">
        <v>1</v>
      </c>
      <c r="AF11">
        <v>8</v>
      </c>
      <c r="AG11">
        <v>4</v>
      </c>
      <c r="AH11">
        <v>2</v>
      </c>
      <c r="AI11">
        <v>1</v>
      </c>
      <c r="AJ11">
        <v>8</v>
      </c>
      <c r="AK11">
        <v>4</v>
      </c>
      <c r="AL11">
        <v>2</v>
      </c>
      <c r="AM11">
        <v>1</v>
      </c>
    </row>
    <row r="12" spans="4:39" ht="18">
      <c r="D12" s="179"/>
      <c r="E12" s="179"/>
      <c r="F12" s="179"/>
      <c r="G12" s="179"/>
      <c r="H12" s="179"/>
      <c r="I12" s="179"/>
      <c r="J12" s="179"/>
      <c r="T12" s="204">
        <f>V11</f>
        <v>0</v>
      </c>
      <c r="U12" s="204">
        <f t="shared" si="1"/>
        <v>0</v>
      </c>
      <c r="V12" s="204">
        <f t="shared" si="2"/>
        <v>0</v>
      </c>
      <c r="W12" s="204">
        <f t="shared" si="0"/>
        <v>0</v>
      </c>
      <c r="X12" s="183">
        <f t="shared" si="3"/>
        <v>0</v>
      </c>
      <c r="Z12" s="195">
        <f>IF(Z10=1,Z11,0)</f>
        <v>2</v>
      </c>
      <c r="AA12" s="196">
        <f aca="true" t="shared" si="5" ref="AA12:AM12">IF(AA10=1,AA11,0)</f>
        <v>1</v>
      </c>
      <c r="AB12" s="210">
        <f t="shared" si="5"/>
        <v>8</v>
      </c>
      <c r="AC12" s="211">
        <f t="shared" si="5"/>
        <v>4</v>
      </c>
      <c r="AD12" s="211">
        <f t="shared" si="5"/>
        <v>2</v>
      </c>
      <c r="AE12" s="212">
        <f t="shared" si="5"/>
        <v>1</v>
      </c>
      <c r="AF12" s="205">
        <f t="shared" si="5"/>
        <v>0</v>
      </c>
      <c r="AG12" s="206">
        <f t="shared" si="5"/>
        <v>0</v>
      </c>
      <c r="AH12" s="206">
        <f t="shared" si="5"/>
        <v>2</v>
      </c>
      <c r="AI12" s="207">
        <f t="shared" si="5"/>
        <v>1</v>
      </c>
      <c r="AJ12" s="200">
        <f t="shared" si="5"/>
        <v>0</v>
      </c>
      <c r="AK12" s="201">
        <f t="shared" si="5"/>
        <v>0</v>
      </c>
      <c r="AL12" s="201">
        <f t="shared" si="5"/>
        <v>0</v>
      </c>
      <c r="AM12" s="202">
        <f t="shared" si="5"/>
        <v>1</v>
      </c>
    </row>
    <row r="13" spans="3:24" ht="12.75">
      <c r="C13">
        <v>0</v>
      </c>
      <c r="D13">
        <v>1</v>
      </c>
      <c r="E13">
        <v>2</v>
      </c>
      <c r="F13">
        <v>4</v>
      </c>
      <c r="G13">
        <v>8</v>
      </c>
      <c r="H13">
        <v>16</v>
      </c>
      <c r="I13">
        <v>32</v>
      </c>
      <c r="J13">
        <v>64</v>
      </c>
      <c r="K13">
        <v>128</v>
      </c>
      <c r="L13">
        <v>256</v>
      </c>
      <c r="M13">
        <v>1024</v>
      </c>
      <c r="T13" s="208">
        <f>SUM(AB12:AE12)</f>
        <v>15</v>
      </c>
      <c r="U13" s="209">
        <f>T13/16</f>
        <v>0.9375</v>
      </c>
      <c r="V13" s="209">
        <f>INT(U13)</f>
        <v>0</v>
      </c>
      <c r="W13" s="209">
        <f t="shared" si="0"/>
        <v>15</v>
      </c>
      <c r="X13" s="183" t="str">
        <f t="shared" si="3"/>
        <v>F</v>
      </c>
    </row>
    <row r="14" spans="3:33" ht="12.75">
      <c r="C14">
        <f>5/1024*C13</f>
        <v>0</v>
      </c>
      <c r="D14">
        <f aca="true" t="shared" si="6" ref="D14:M14">5/1024*D13</f>
        <v>0.0048828125</v>
      </c>
      <c r="E14">
        <f t="shared" si="6"/>
        <v>0.009765625</v>
      </c>
      <c r="F14">
        <f t="shared" si="6"/>
        <v>0.01953125</v>
      </c>
      <c r="G14">
        <f t="shared" si="6"/>
        <v>0.0390625</v>
      </c>
      <c r="H14">
        <f t="shared" si="6"/>
        <v>0.078125</v>
      </c>
      <c r="I14">
        <f t="shared" si="6"/>
        <v>0.15625</v>
      </c>
      <c r="J14">
        <f t="shared" si="6"/>
        <v>0.3125</v>
      </c>
      <c r="K14">
        <f t="shared" si="6"/>
        <v>0.625</v>
      </c>
      <c r="L14">
        <f t="shared" si="6"/>
        <v>1.25</v>
      </c>
      <c r="M14">
        <f t="shared" si="6"/>
        <v>5</v>
      </c>
      <c r="T14" s="209">
        <f>V13</f>
        <v>0</v>
      </c>
      <c r="U14" s="209">
        <f t="shared" si="1"/>
        <v>0</v>
      </c>
      <c r="V14" s="209">
        <f t="shared" si="2"/>
        <v>0</v>
      </c>
      <c r="W14" s="209">
        <f t="shared" si="0"/>
        <v>0</v>
      </c>
      <c r="X14" s="183">
        <f t="shared" si="3"/>
        <v>0</v>
      </c>
      <c r="AG14" s="2"/>
    </row>
    <row r="15" spans="20:24" ht="12.75">
      <c r="T15" s="209">
        <f>V14</f>
        <v>0</v>
      </c>
      <c r="U15" s="209">
        <f t="shared" si="1"/>
        <v>0</v>
      </c>
      <c r="V15" s="209">
        <f t="shared" si="2"/>
        <v>0</v>
      </c>
      <c r="W15" s="209">
        <f t="shared" si="0"/>
        <v>0</v>
      </c>
      <c r="X15" s="183">
        <f t="shared" si="3"/>
        <v>0</v>
      </c>
    </row>
    <row r="16" spans="20:24" ht="12.75">
      <c r="T16" s="209">
        <f>V15</f>
        <v>0</v>
      </c>
      <c r="U16" s="209">
        <f t="shared" si="1"/>
        <v>0</v>
      </c>
      <c r="V16" s="209">
        <f t="shared" si="2"/>
        <v>0</v>
      </c>
      <c r="W16" s="209">
        <f t="shared" si="0"/>
        <v>0</v>
      </c>
      <c r="X16" s="183">
        <f t="shared" si="3"/>
        <v>0</v>
      </c>
    </row>
    <row r="17" spans="20:24" ht="12.75">
      <c r="T17" s="213">
        <f>SUM(Z12:AA12)</f>
        <v>3</v>
      </c>
      <c r="U17" s="214">
        <f>T17/16</f>
        <v>0.1875</v>
      </c>
      <c r="V17" s="214">
        <f>INT(U17)</f>
        <v>0</v>
      </c>
      <c r="W17" s="214">
        <f t="shared" si="0"/>
        <v>3</v>
      </c>
      <c r="X17" s="183">
        <f t="shared" si="3"/>
        <v>3</v>
      </c>
    </row>
    <row r="18" spans="20:24" ht="12.75">
      <c r="T18" s="214">
        <f>V17</f>
        <v>0</v>
      </c>
      <c r="U18" s="214">
        <f t="shared" si="1"/>
        <v>0</v>
      </c>
      <c r="V18" s="214">
        <f t="shared" si="2"/>
        <v>0</v>
      </c>
      <c r="W18" s="214">
        <f t="shared" si="0"/>
        <v>0</v>
      </c>
      <c r="X18" s="183">
        <f t="shared" si="3"/>
        <v>0</v>
      </c>
    </row>
    <row r="19" spans="20:24" ht="12.75">
      <c r="T19" s="214">
        <f>V18</f>
        <v>0</v>
      </c>
      <c r="U19" s="214">
        <f t="shared" si="1"/>
        <v>0</v>
      </c>
      <c r="V19" s="214">
        <f t="shared" si="2"/>
        <v>0</v>
      </c>
      <c r="W19" s="214">
        <f t="shared" si="0"/>
        <v>0</v>
      </c>
      <c r="X19" s="183">
        <f t="shared" si="3"/>
        <v>0</v>
      </c>
    </row>
    <row r="20" spans="20:24" ht="12.75">
      <c r="T20" s="214">
        <f>V19</f>
        <v>0</v>
      </c>
      <c r="U20" s="214">
        <f t="shared" si="1"/>
        <v>0</v>
      </c>
      <c r="V20" s="214">
        <f t="shared" si="2"/>
        <v>0</v>
      </c>
      <c r="W20" s="214">
        <f t="shared" si="0"/>
        <v>0</v>
      </c>
      <c r="X20" s="183">
        <f t="shared" si="3"/>
        <v>0</v>
      </c>
    </row>
  </sheetData>
  <conditionalFormatting sqref="C4:P4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cp:lastPrinted>2007-05-11T15:47:45Z</cp:lastPrinted>
  <dcterms:created xsi:type="dcterms:W3CDTF">2007-04-29T14:34:04Z</dcterms:created>
  <dcterms:modified xsi:type="dcterms:W3CDTF">2007-05-12T10:13:35Z</dcterms:modified>
  <cp:category/>
  <cp:version/>
  <cp:contentType/>
  <cp:contentStatus/>
</cp:coreProperties>
</file>